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DC6432A-6B8D-46EF-BCF3-92192B89DE47}" xr6:coauthVersionLast="47" xr6:coauthVersionMax="47" xr10:uidLastSave="{00000000-0000-0000-0000-000000000000}"/>
  <bookViews>
    <workbookView xWindow="-108" yWindow="-108" windowWidth="23256" windowHeight="12456" tabRatio="726" firstSheet="1" activeTab="6" xr2:uid="{00000000-000D-0000-FFFF-FFFF00000000}"/>
  </bookViews>
  <sheets>
    <sheet name="Costos siembra nueva" sheetId="1" r:id="rId1"/>
    <sheet name="Mantenimiento de cultivo" sheetId="8" r:id="rId2"/>
    <sheet name="Cosecha" sheetId="7" r:id="rId3"/>
    <sheet name="Producción mieles" sheetId="4" r:id="rId4"/>
    <sheet name="Producción panela" sheetId="5" r:id="rId5"/>
    <sheet name="Gastos Comercialización" sheetId="9" r:id="rId6"/>
    <sheet name="Resumen costos" sheetId="6" r:id="rId7"/>
  </sheets>
  <definedNames>
    <definedName name="_xlnm.Print_Area" localSheetId="2">Cosecha!$B$1:$P$67</definedName>
    <definedName name="_xlnm.Print_Area" localSheetId="0">'Costos siembra nueva'!$B$1:$I$88</definedName>
    <definedName name="_xlnm.Print_Area" localSheetId="1">'Mantenimiento de cultivo'!$B$1:$I$90</definedName>
    <definedName name="_xlnm.Print_Area" localSheetId="3">'Producción mieles'!$B$1:$I$118</definedName>
    <definedName name="_xlnm.Print_Area" localSheetId="4">'Producción panela'!$B$1:$K$109</definedName>
    <definedName name="_xlnm.Print_Area" localSheetId="6">'Resumen costos'!$B$1:$K$27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3" i="8" l="1"/>
  <c r="H73" i="1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D6" i="9"/>
  <c r="D7" i="9"/>
  <c r="D8" i="9"/>
  <c r="D9" i="9"/>
  <c r="D10" i="9"/>
  <c r="D11" i="9"/>
  <c r="D5" i="9"/>
  <c r="E10" i="5"/>
  <c r="E9" i="5"/>
  <c r="E5" i="5"/>
  <c r="G34" i="9" l="1"/>
  <c r="G40" i="9" s="1"/>
  <c r="F35" i="9"/>
  <c r="F84" i="5"/>
  <c r="H84" i="5" s="1"/>
  <c r="H86" i="5"/>
  <c r="H85" i="5"/>
  <c r="H49" i="7"/>
  <c r="H48" i="7"/>
  <c r="H47" i="7"/>
  <c r="H67" i="8"/>
  <c r="H66" i="8"/>
  <c r="H65" i="8"/>
  <c r="H62" i="1"/>
  <c r="H61" i="1"/>
  <c r="H60" i="1"/>
  <c r="H64" i="8"/>
  <c r="H77" i="8"/>
  <c r="H87" i="5" l="1"/>
  <c r="G88" i="5" s="1"/>
  <c r="H88" i="5" s="1"/>
  <c r="H89" i="5" s="1"/>
  <c r="H90" i="5" s="1"/>
  <c r="H69" i="8"/>
  <c r="F75" i="1"/>
  <c r="H76" i="8"/>
  <c r="H75" i="8"/>
  <c r="H85" i="8"/>
  <c r="F70" i="1"/>
  <c r="F71" i="1" s="1"/>
  <c r="H71" i="1" s="1"/>
  <c r="H72" i="1"/>
  <c r="H70" i="1"/>
  <c r="H82" i="1"/>
  <c r="H74" i="1" l="1"/>
  <c r="G75" i="1" s="1"/>
  <c r="H75" i="1" s="1"/>
  <c r="H76" i="1" s="1"/>
  <c r="H77" i="1" s="1"/>
  <c r="H78" i="8"/>
  <c r="E6" i="5"/>
  <c r="E7" i="5"/>
  <c r="E8" i="5"/>
  <c r="E11" i="5"/>
  <c r="E5" i="4"/>
  <c r="F5" i="7"/>
  <c r="F6" i="7"/>
  <c r="F7" i="7"/>
  <c r="F8" i="7"/>
  <c r="F9" i="7"/>
  <c r="F10" i="7"/>
  <c r="F11" i="7"/>
  <c r="E7" i="8"/>
  <c r="F66" i="5"/>
  <c r="F26" i="5"/>
  <c r="H26" i="5" s="1"/>
  <c r="H52" i="5"/>
  <c r="H51" i="5"/>
  <c r="H50" i="5"/>
  <c r="H49" i="5"/>
  <c r="H48" i="5"/>
  <c r="H47" i="5"/>
  <c r="H46" i="5"/>
  <c r="H45" i="5"/>
  <c r="H44" i="5"/>
  <c r="H43" i="5"/>
  <c r="H42" i="5"/>
  <c r="F25" i="5"/>
  <c r="H25" i="5" s="1"/>
  <c r="F24" i="5"/>
  <c r="H24" i="5" s="1"/>
  <c r="F23" i="5"/>
  <c r="H23" i="5" s="1"/>
  <c r="F22" i="5"/>
  <c r="H22" i="5" s="1"/>
  <c r="F21" i="5"/>
  <c r="H21" i="5" s="1"/>
  <c r="F20" i="5"/>
  <c r="E14" i="8"/>
  <c r="H13" i="8"/>
  <c r="H13" i="7" s="1"/>
  <c r="H18" i="1"/>
  <c r="H19" i="1"/>
  <c r="H20" i="1"/>
  <c r="H21" i="1"/>
  <c r="H22" i="1"/>
  <c r="H23" i="1"/>
  <c r="H24" i="1"/>
  <c r="H25" i="1"/>
  <c r="H26" i="1"/>
  <c r="H27" i="1"/>
  <c r="H9" i="5" l="1"/>
  <c r="E35" i="9" s="1"/>
  <c r="G35" i="9" s="1"/>
  <c r="G36" i="9" s="1"/>
  <c r="G41" i="9" s="1"/>
  <c r="G42" i="9" s="1"/>
  <c r="G43" i="9" s="1"/>
  <c r="E23" i="6" s="1"/>
  <c r="G9" i="9"/>
  <c r="G79" i="8"/>
  <c r="H79" i="8" s="1"/>
  <c r="H80" i="8" s="1"/>
  <c r="E7" i="6"/>
  <c r="E6" i="6"/>
  <c r="E5" i="6"/>
  <c r="E3" i="6"/>
  <c r="G37" i="9" l="1"/>
  <c r="H81" i="8"/>
  <c r="O45" i="6"/>
  <c r="O44" i="6"/>
  <c r="O43" i="6"/>
  <c r="N24" i="6"/>
  <c r="N13" i="6"/>
  <c r="N20" i="6" s="1"/>
  <c r="N14" i="6"/>
  <c r="N21" i="6" s="1"/>
  <c r="N15" i="6"/>
  <c r="N22" i="6" s="1"/>
  <c r="N12" i="6"/>
  <c r="N19" i="6" s="1"/>
  <c r="O8" i="6"/>
  <c r="O7" i="6"/>
  <c r="O6" i="6"/>
  <c r="I98" i="5"/>
  <c r="I77" i="5"/>
  <c r="I59" i="5"/>
  <c r="J65" i="5"/>
  <c r="I65" i="5"/>
  <c r="J92" i="5"/>
  <c r="I92" i="5"/>
  <c r="E6" i="4"/>
  <c r="E7" i="4"/>
  <c r="E9" i="4"/>
  <c r="E11" i="4"/>
  <c r="H34" i="5"/>
  <c r="H33" i="4"/>
  <c r="F100" i="5"/>
  <c r="F79" i="5"/>
  <c r="F61" i="5"/>
  <c r="F37" i="5"/>
  <c r="F108" i="4"/>
  <c r="F96" i="4"/>
  <c r="F76" i="4"/>
  <c r="F57" i="4"/>
  <c r="F36" i="4"/>
  <c r="M30" i="7"/>
  <c r="M41" i="7"/>
  <c r="M52" i="7"/>
  <c r="F52" i="7"/>
  <c r="F41" i="7"/>
  <c r="F30" i="7"/>
  <c r="F70" i="8"/>
  <c r="F59" i="8"/>
  <c r="F33" i="8"/>
  <c r="H31" i="4"/>
  <c r="F65" i="1"/>
  <c r="F53" i="1"/>
  <c r="F30" i="1"/>
  <c r="H57" i="8"/>
  <c r="H56" i="8"/>
  <c r="H55" i="8"/>
  <c r="H54" i="8"/>
  <c r="H53" i="8"/>
  <c r="H52" i="8"/>
  <c r="H51" i="8"/>
  <c r="H50" i="8"/>
  <c r="H49" i="8"/>
  <c r="H48" i="8"/>
  <c r="H47" i="8"/>
  <c r="H46" i="8"/>
  <c r="H45" i="8"/>
  <c r="H44" i="8"/>
  <c r="H42" i="8"/>
  <c r="H41" i="8"/>
  <c r="H40" i="8"/>
  <c r="H39" i="8"/>
  <c r="H53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106" i="4"/>
  <c r="H105" i="4"/>
  <c r="H104" i="4"/>
  <c r="H103" i="4"/>
  <c r="H102" i="4"/>
  <c r="H59" i="5"/>
  <c r="H58" i="5"/>
  <c r="H57" i="5"/>
  <c r="H56" i="5"/>
  <c r="H55" i="5"/>
  <c r="H54" i="5"/>
  <c r="H53" i="5"/>
  <c r="H77" i="5"/>
  <c r="H76" i="5"/>
  <c r="H75" i="5"/>
  <c r="H74" i="5"/>
  <c r="H73" i="5"/>
  <c r="H72" i="5"/>
  <c r="H71" i="5"/>
  <c r="H70" i="5"/>
  <c r="H69" i="5"/>
  <c r="H68" i="5"/>
  <c r="H67" i="5"/>
  <c r="H98" i="5"/>
  <c r="H97" i="5"/>
  <c r="H96" i="5"/>
  <c r="H95" i="5"/>
  <c r="H94" i="5"/>
  <c r="O39" i="7"/>
  <c r="O38" i="7"/>
  <c r="O37" i="7"/>
  <c r="H39" i="7"/>
  <c r="H38" i="7"/>
  <c r="H37" i="7"/>
  <c r="G3" i="6"/>
  <c r="J3" i="6"/>
  <c r="H66" i="4"/>
  <c r="H55" i="4"/>
  <c r="H54" i="4"/>
  <c r="H52" i="4"/>
  <c r="H51" i="4"/>
  <c r="H50" i="4"/>
  <c r="H49" i="4"/>
  <c r="H48" i="4"/>
  <c r="H47" i="4"/>
  <c r="H46" i="4"/>
  <c r="H45" i="4"/>
  <c r="H44" i="4"/>
  <c r="H43" i="4"/>
  <c r="H42" i="4"/>
  <c r="H56" i="4" s="1"/>
  <c r="G57" i="4" s="1"/>
  <c r="H57" i="4" s="1"/>
  <c r="H58" i="4" s="1"/>
  <c r="H59" i="4" s="1"/>
  <c r="H41" i="4"/>
  <c r="H64" i="4"/>
  <c r="H65" i="4"/>
  <c r="H67" i="4"/>
  <c r="H68" i="4"/>
  <c r="H69" i="4"/>
  <c r="H70" i="4"/>
  <c r="H71" i="4"/>
  <c r="H72" i="4"/>
  <c r="H73" i="4"/>
  <c r="H93" i="5"/>
  <c r="H101" i="4"/>
  <c r="H66" i="5"/>
  <c r="E13" i="8"/>
  <c r="E12" i="8"/>
  <c r="E10" i="4"/>
  <c r="E11" i="8"/>
  <c r="E10" i="8"/>
  <c r="E8" i="4"/>
  <c r="E9" i="8"/>
  <c r="E8" i="8"/>
  <c r="H29" i="8"/>
  <c r="H28" i="8"/>
  <c r="H27" i="8"/>
  <c r="H26" i="8"/>
  <c r="H25" i="8"/>
  <c r="H24" i="8"/>
  <c r="H23" i="8"/>
  <c r="H22" i="8"/>
  <c r="H21" i="8"/>
  <c r="H30" i="8"/>
  <c r="E4" i="6"/>
  <c r="C12" i="6" s="1"/>
  <c r="D12" i="6" s="1"/>
  <c r="H45" i="1"/>
  <c r="H44" i="1"/>
  <c r="H43" i="1"/>
  <c r="C21" i="6"/>
  <c r="D21" i="6" s="1"/>
  <c r="H81" i="4"/>
  <c r="H21" i="7"/>
  <c r="H38" i="8"/>
  <c r="H31" i="8"/>
  <c r="H20" i="8"/>
  <c r="H19" i="8"/>
  <c r="H18" i="8"/>
  <c r="H17" i="8"/>
  <c r="H20" i="7"/>
  <c r="O20" i="7"/>
  <c r="O29" i="7" s="1"/>
  <c r="N30" i="7" s="1"/>
  <c r="O21" i="7"/>
  <c r="H22" i="7"/>
  <c r="O22" i="7"/>
  <c r="H23" i="7"/>
  <c r="O23" i="7"/>
  <c r="H24" i="7"/>
  <c r="O24" i="7"/>
  <c r="H25" i="7"/>
  <c r="O25" i="7"/>
  <c r="H26" i="7"/>
  <c r="O26" i="7"/>
  <c r="H27" i="7"/>
  <c r="O27" i="7"/>
  <c r="H28" i="7"/>
  <c r="O28" i="7"/>
  <c r="H35" i="7"/>
  <c r="O35" i="7"/>
  <c r="H36" i="7"/>
  <c r="O36" i="7"/>
  <c r="H46" i="7"/>
  <c r="O46" i="7"/>
  <c r="O47" i="7"/>
  <c r="O51" i="7" s="1"/>
  <c r="N52" i="7" s="1"/>
  <c r="O48" i="7"/>
  <c r="O49" i="7"/>
  <c r="H50" i="7"/>
  <c r="O50" i="7"/>
  <c r="H57" i="7"/>
  <c r="O57" i="7"/>
  <c r="H113" i="4"/>
  <c r="H63" i="1"/>
  <c r="H59" i="1"/>
  <c r="H58" i="1"/>
  <c r="H48" i="1"/>
  <c r="H49" i="1"/>
  <c r="H50" i="1"/>
  <c r="H46" i="1"/>
  <c r="H47" i="1"/>
  <c r="H28" i="1"/>
  <c r="H30" i="4"/>
  <c r="H29" i="4"/>
  <c r="H27" i="4"/>
  <c r="H26" i="4"/>
  <c r="H25" i="4"/>
  <c r="H24" i="4"/>
  <c r="H23" i="4"/>
  <c r="H22" i="4"/>
  <c r="H74" i="4"/>
  <c r="H21" i="4"/>
  <c r="H35" i="4" s="1"/>
  <c r="H28" i="4"/>
  <c r="H32" i="4"/>
  <c r="H20" i="4"/>
  <c r="H35" i="5"/>
  <c r="H27" i="5"/>
  <c r="H28" i="5"/>
  <c r="H29" i="5"/>
  <c r="H30" i="5"/>
  <c r="H31" i="5"/>
  <c r="H32" i="5"/>
  <c r="H33" i="5"/>
  <c r="H34" i="4"/>
  <c r="H63" i="4"/>
  <c r="H62" i="4"/>
  <c r="H75" i="4" s="1"/>
  <c r="G76" i="4" s="1"/>
  <c r="H76" i="4" s="1"/>
  <c r="H77" i="4" s="1"/>
  <c r="H78" i="4" s="1"/>
  <c r="H42" i="1"/>
  <c r="H41" i="1"/>
  <c r="H40" i="1"/>
  <c r="H39" i="1"/>
  <c r="H38" i="1"/>
  <c r="H37" i="1"/>
  <c r="H36" i="1"/>
  <c r="H35" i="1"/>
  <c r="H17" i="1"/>
  <c r="H29" i="1" s="1"/>
  <c r="H51" i="1"/>
  <c r="H95" i="4" l="1"/>
  <c r="G96" i="4" s="1"/>
  <c r="H96" i="4" s="1"/>
  <c r="H97" i="4" s="1"/>
  <c r="H98" i="4" s="1"/>
  <c r="H107" i="4"/>
  <c r="G108" i="4" s="1"/>
  <c r="H108" i="4" s="1"/>
  <c r="H109" i="4" s="1"/>
  <c r="H110" i="4" s="1"/>
  <c r="O40" i="7"/>
  <c r="N41" i="7" s="1"/>
  <c r="O41" i="7" s="1"/>
  <c r="O42" i="7" s="1"/>
  <c r="O43" i="7" s="1"/>
  <c r="O58" i="7"/>
  <c r="G36" i="4"/>
  <c r="H36" i="4" s="1"/>
  <c r="H37" i="4" s="1"/>
  <c r="H40" i="7"/>
  <c r="G41" i="7" s="1"/>
  <c r="H41" i="7" s="1"/>
  <c r="H42" i="7" s="1"/>
  <c r="H43" i="7" s="1"/>
  <c r="P14" i="6" s="1"/>
  <c r="H99" i="5"/>
  <c r="G100" i="5" s="1"/>
  <c r="H100" i="5" s="1"/>
  <c r="H101" i="5" s="1"/>
  <c r="H102" i="5" s="1"/>
  <c r="O52" i="7"/>
  <c r="O53" i="7" s="1"/>
  <c r="O54" i="7" s="1"/>
  <c r="O30" i="7"/>
  <c r="O31" i="7" s="1"/>
  <c r="O32" i="7" s="1"/>
  <c r="H78" i="5"/>
  <c r="G79" i="5" s="1"/>
  <c r="H79" i="5" s="1"/>
  <c r="H80" i="5" s="1"/>
  <c r="H81" i="5" s="1"/>
  <c r="H52" i="1"/>
  <c r="G53" i="1" s="1"/>
  <c r="H53" i="1" s="1"/>
  <c r="H54" i="1" s="1"/>
  <c r="H55" i="1" s="1"/>
  <c r="Q12" i="6" s="1"/>
  <c r="P12" i="6" s="1"/>
  <c r="H36" i="5"/>
  <c r="Q21" i="6"/>
  <c r="P21" i="6"/>
  <c r="R21" i="6"/>
  <c r="H51" i="7"/>
  <c r="G52" i="7" s="1"/>
  <c r="H52" i="7" s="1"/>
  <c r="H53" i="7" s="1"/>
  <c r="H54" i="7" s="1"/>
  <c r="H29" i="7"/>
  <c r="G30" i="7" s="1"/>
  <c r="H30" i="7" s="1"/>
  <c r="H31" i="7" s="1"/>
  <c r="H58" i="8"/>
  <c r="H32" i="8"/>
  <c r="G33" i="8" s="1"/>
  <c r="H33" i="8" s="1"/>
  <c r="H34" i="8" s="1"/>
  <c r="Q19" i="6"/>
  <c r="P19" i="6" s="1"/>
  <c r="H64" i="1"/>
  <c r="H60" i="5"/>
  <c r="R20" i="6"/>
  <c r="P20" i="6" s="1"/>
  <c r="P44" i="6"/>
  <c r="P43" i="6"/>
  <c r="J15" i="5"/>
  <c r="P45" i="6"/>
  <c r="H114" i="4" l="1"/>
  <c r="H115" i="4"/>
  <c r="H105" i="5"/>
  <c r="G59" i="8"/>
  <c r="H59" i="8" s="1"/>
  <c r="H60" i="8" s="1"/>
  <c r="H61" i="8" s="1"/>
  <c r="R13" i="6" s="1"/>
  <c r="P13" i="6" s="1"/>
  <c r="H86" i="8"/>
  <c r="G37" i="5"/>
  <c r="H37" i="5" s="1"/>
  <c r="H38" i="5" s="1"/>
  <c r="H83" i="1"/>
  <c r="G65" i="1"/>
  <c r="H65" i="1" s="1"/>
  <c r="H66" i="1" s="1"/>
  <c r="G70" i="8"/>
  <c r="H70" i="8" s="1"/>
  <c r="H71" i="8" s="1"/>
  <c r="O59" i="7"/>
  <c r="O60" i="7" s="1"/>
  <c r="O61" i="7" s="1"/>
  <c r="H38" i="4"/>
  <c r="H116" i="4"/>
  <c r="H117" i="4" s="1"/>
  <c r="E14" i="6" s="1"/>
  <c r="Q14" i="6"/>
  <c r="H58" i="7"/>
  <c r="H32" i="7"/>
  <c r="P8" i="6" s="1"/>
  <c r="H59" i="7"/>
  <c r="R14" i="6"/>
  <c r="G30" i="1"/>
  <c r="H30" i="1" s="1"/>
  <c r="H31" i="1" s="1"/>
  <c r="H32" i="1" s="1"/>
  <c r="Q6" i="6" s="1"/>
  <c r="G61" i="5"/>
  <c r="H61" i="5" s="1"/>
  <c r="H62" i="5" s="1"/>
  <c r="I22" i="5"/>
  <c r="J22" i="5" s="1"/>
  <c r="I26" i="5"/>
  <c r="J26" i="5" s="1"/>
  <c r="I30" i="5"/>
  <c r="J30" i="5" s="1"/>
  <c r="I34" i="5"/>
  <c r="J34" i="5" s="1"/>
  <c r="I24" i="5"/>
  <c r="J24" i="5" s="1"/>
  <c r="I28" i="5"/>
  <c r="J28" i="5" s="1"/>
  <c r="I32" i="5"/>
  <c r="J32" i="5" s="1"/>
  <c r="I21" i="5"/>
  <c r="J21" i="5" s="1"/>
  <c r="I25" i="5"/>
  <c r="J25" i="5" s="1"/>
  <c r="I29" i="5"/>
  <c r="J29" i="5" s="1"/>
  <c r="I33" i="5"/>
  <c r="J33" i="5" s="1"/>
  <c r="I20" i="5"/>
  <c r="J20" i="5" s="1"/>
  <c r="I23" i="5"/>
  <c r="J23" i="5" s="1"/>
  <c r="I27" i="5"/>
  <c r="J27" i="5" s="1"/>
  <c r="I31" i="5"/>
  <c r="J31" i="5" s="1"/>
  <c r="I35" i="5"/>
  <c r="I74" i="5"/>
  <c r="J74" i="5" s="1"/>
  <c r="H35" i="8"/>
  <c r="R7" i="6" s="1"/>
  <c r="H39" i="5"/>
  <c r="I53" i="5"/>
  <c r="J53" i="5" s="1"/>
  <c r="I70" i="5"/>
  <c r="J70" i="5" s="1"/>
  <c r="I52" i="5"/>
  <c r="J52" i="5" s="1"/>
  <c r="J98" i="5"/>
  <c r="I48" i="5"/>
  <c r="J48" i="5" s="1"/>
  <c r="I97" i="5"/>
  <c r="J97" i="5" s="1"/>
  <c r="I76" i="5"/>
  <c r="J76" i="5" s="1"/>
  <c r="J59" i="5"/>
  <c r="I55" i="5"/>
  <c r="J55" i="5" s="1"/>
  <c r="I94" i="5"/>
  <c r="J94" i="5" s="1"/>
  <c r="I47" i="5"/>
  <c r="J47" i="5" s="1"/>
  <c r="I69" i="5"/>
  <c r="J69" i="5" s="1"/>
  <c r="R22" i="6" s="1"/>
  <c r="R24" i="6" s="1"/>
  <c r="I66" i="5"/>
  <c r="J66" i="5" s="1"/>
  <c r="I95" i="5"/>
  <c r="J95" i="5" s="1"/>
  <c r="I67" i="5"/>
  <c r="J67" i="5" s="1"/>
  <c r="I44" i="5"/>
  <c r="J44" i="5" s="1"/>
  <c r="O9" i="6"/>
  <c r="O10" i="6" s="1"/>
  <c r="J77" i="5"/>
  <c r="I72" i="5"/>
  <c r="J72" i="5" s="1"/>
  <c r="I93" i="5"/>
  <c r="J93" i="5" s="1"/>
  <c r="I73" i="5"/>
  <c r="J73" i="5" s="1"/>
  <c r="J35" i="5"/>
  <c r="I49" i="5"/>
  <c r="J49" i="5" s="1"/>
  <c r="I58" i="5"/>
  <c r="J58" i="5" s="1"/>
  <c r="I75" i="5"/>
  <c r="J75" i="5" s="1"/>
  <c r="P22" i="6"/>
  <c r="P24" i="6" s="1"/>
  <c r="I96" i="5"/>
  <c r="J96" i="5" s="1"/>
  <c r="I50" i="5"/>
  <c r="J50" i="5" s="1"/>
  <c r="I68" i="5"/>
  <c r="J68" i="5" s="1"/>
  <c r="I45" i="5"/>
  <c r="J45" i="5" s="1"/>
  <c r="I46" i="5"/>
  <c r="J46" i="5" s="1"/>
  <c r="I42" i="5"/>
  <c r="J42" i="5" s="1"/>
  <c r="I54" i="5"/>
  <c r="J54" i="5" s="1"/>
  <c r="I71" i="5"/>
  <c r="J71" i="5" s="1"/>
  <c r="I51" i="5"/>
  <c r="J51" i="5" s="1"/>
  <c r="I56" i="5"/>
  <c r="J56" i="5" s="1"/>
  <c r="I43" i="5"/>
  <c r="J43" i="5" s="1"/>
  <c r="I57" i="5"/>
  <c r="J57" i="5" s="1"/>
  <c r="H87" i="8" l="1"/>
  <c r="H106" i="5"/>
  <c r="H107" i="5" s="1"/>
  <c r="H67" i="1"/>
  <c r="H84" i="1"/>
  <c r="H85" i="1" s="1"/>
  <c r="H87" i="1" s="1"/>
  <c r="H72" i="8"/>
  <c r="H88" i="8"/>
  <c r="H89" i="8" s="1"/>
  <c r="R8" i="6"/>
  <c r="O34" i="6" s="1"/>
  <c r="H60" i="7"/>
  <c r="H61" i="7" s="1"/>
  <c r="H62" i="7" s="1"/>
  <c r="Q8" i="6"/>
  <c r="O31" i="6" s="1"/>
  <c r="Q22" i="6"/>
  <c r="Q24" i="6" s="1"/>
  <c r="H63" i="5"/>
  <c r="J60" i="5"/>
  <c r="J61" i="5" s="1"/>
  <c r="J62" i="5" s="1"/>
  <c r="P7" i="6"/>
  <c r="P6" i="6"/>
  <c r="J36" i="5"/>
  <c r="J37" i="5" s="1"/>
  <c r="J38" i="5" s="1"/>
  <c r="J99" i="5"/>
  <c r="J100" i="5" s="1"/>
  <c r="J101" i="5" s="1"/>
  <c r="J102" i="5" s="1"/>
  <c r="J78" i="5"/>
  <c r="J79" i="5" s="1"/>
  <c r="J80" i="5" s="1"/>
  <c r="J81" i="5" s="1"/>
  <c r="I36" i="5"/>
  <c r="H108" i="5" l="1"/>
  <c r="E24" i="6" s="1"/>
  <c r="H64" i="7"/>
  <c r="F21" i="6" s="1"/>
  <c r="J63" i="5"/>
  <c r="P15" i="6" s="1"/>
  <c r="P16" i="6" s="1"/>
  <c r="H86" i="1"/>
  <c r="K88" i="8" s="1"/>
  <c r="P27" i="6"/>
  <c r="Q27" i="6" s="1"/>
  <c r="E21" i="6"/>
  <c r="E12" i="6"/>
  <c r="J39" i="5"/>
  <c r="Q9" i="6" s="1"/>
  <c r="Q10" i="6" s="1"/>
  <c r="J105" i="5"/>
  <c r="J106" i="5"/>
  <c r="P9" i="6" l="1"/>
  <c r="P10" i="6" s="1"/>
  <c r="G21" i="6"/>
  <c r="F12" i="6"/>
  <c r="G12" i="6" s="1"/>
  <c r="H12" i="6" s="1"/>
  <c r="E15" i="6" s="1"/>
  <c r="E16" i="6" s="1"/>
  <c r="Q15" i="6"/>
  <c r="Q16" i="6" s="1"/>
  <c r="Q28" i="6" s="1"/>
  <c r="R15" i="6"/>
  <c r="R16" i="6" s="1"/>
  <c r="O37" i="6"/>
  <c r="Q37" i="6" s="1"/>
  <c r="R9" i="6"/>
  <c r="R10" i="6" s="1"/>
  <c r="J107" i="5"/>
  <c r="P28" i="6"/>
  <c r="R27" i="6"/>
  <c r="O32" i="6" l="1"/>
  <c r="O33" i="6" s="1"/>
  <c r="O35" i="6"/>
  <c r="O36" i="6" s="1"/>
  <c r="O38" i="6"/>
  <c r="O39" i="6" s="1"/>
  <c r="H21" i="6"/>
  <c r="E25" i="6" s="1"/>
  <c r="E26" i="6" s="1"/>
  <c r="E29" i="6" s="1"/>
  <c r="R28" i="6"/>
  <c r="P37" i="6" l="1"/>
  <c r="P31" i="6"/>
  <c r="Q31" i="6" s="1"/>
  <c r="Q32" i="6"/>
  <c r="Q35" i="6"/>
  <c r="P38" i="6"/>
  <c r="Q38" i="6"/>
  <c r="Q39" i="6" s="1"/>
  <c r="P34" i="6"/>
  <c r="P32" i="6"/>
  <c r="P35" i="6"/>
  <c r="P39" i="6" l="1"/>
  <c r="Q33" i="6"/>
  <c r="P33" i="6"/>
  <c r="P36" i="6"/>
  <c r="Q34" i="6"/>
  <c r="Q36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  <author>Laptop</author>
  </authors>
  <commentList>
    <comment ref="E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Si corta por parejo: Cantidad de cortes que hace en cada lote, antes de realizar una renovación del mismo
Si corta por entresaque: Cantidad de años que cosecha cada lote, antes de realizar una renovación del mismo</t>
        </r>
      </text>
    </comment>
    <comment ref="F35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Laptop:</t>
        </r>
        <r>
          <rPr>
            <sz val="9"/>
            <color indexed="81"/>
            <rFont val="Tahoma"/>
            <family val="2"/>
          </rPr>
          <t xml:space="preserve">
Mas o menos 9.000 kg para siembra y 500 kg para resiembra</t>
        </r>
      </text>
    </comment>
    <comment ref="D6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No entra en contacto con el producto.
Para labores de aseo, por ejemplo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</authors>
  <commentList>
    <comment ref="D6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No entra en contacto con el producto.
Para labores de aseo, por ejemplo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</authors>
  <commentList>
    <comment ref="D4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No entra en contacto con el producto.
Para labores de aseo, por ejemplo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tc={131F9163-A335-4E3C-8D10-B552D9757019}</author>
    <author>Usuario de Windows</author>
  </authors>
  <commentList>
    <comment ref="E62" authorId="0" shapeId="0" xr:uid="{00000000-0006-0000-0300-000001000000}">
      <text>
        <r>
          <rPr>
            <sz val="10"/>
            <rFont val="Arial"/>
            <family val="2"/>
          </rPr>
          <t>Comentario:
    cargas, kg u otro</t>
        </r>
      </text>
    </comment>
    <comment ref="D69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No entra en contacto con el producto.
Para labores de aseo, por ejemplo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tc={2B083866-C50C-4255-8828-BEBD9E794880}</author>
    <author>Usuario de Windows</author>
  </authors>
  <commentList>
    <comment ref="D19" authorId="0" shapeId="0" xr:uid="{00000000-0006-0000-0400-000001000000}">
      <text>
        <r>
          <rPr>
            <sz val="10"/>
            <rFont val="Arial"/>
            <family val="2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incluye alimentación de 15 mil diario</t>
        </r>
      </text>
    </comment>
    <comment ref="D20" authorId="1" shapeId="0" xr:uid="{00000000-0006-0000-0400-00000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Revisar la cantidad de turnos/horas trabajados en esta labor</t>
        </r>
      </text>
    </comment>
    <comment ref="D50" authorId="1" shapeId="0" xr:uid="{00000000-0006-0000-0400-00000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Empaque en contacto directo con el producto.
Ej: termoencogible, bolsa doypack libra
Especificar en la descripción</t>
        </r>
      </text>
    </comment>
    <comment ref="D72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No entra en contacto con el producto.
Para labores de aseo, por ejemplo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Oscar Martinez</author>
  </authors>
  <commentList>
    <comment ref="N31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Oscar Martinez:</t>
        </r>
        <r>
          <rPr>
            <sz val="9"/>
            <color indexed="81"/>
            <rFont val="Tahoma"/>
            <family val="2"/>
          </rPr>
          <t xml:space="preserve">
Incluye:
-Costo de siembra nueva
-Cosecha
</t>
        </r>
      </text>
    </comment>
    <comment ref="N34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Oscar Martinez:</t>
        </r>
        <r>
          <rPr>
            <sz val="9"/>
            <color indexed="81"/>
            <rFont val="Tahoma"/>
            <family val="2"/>
          </rPr>
          <t xml:space="preserve">
Incluye:
-Costo de mantenimiento
-Valor a amortizar de la siembra nueva
-Cosecha
</t>
        </r>
      </text>
    </comment>
    <comment ref="N37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Oscar Martinez:</t>
        </r>
        <r>
          <rPr>
            <sz val="9"/>
            <color indexed="81"/>
            <rFont val="Tahoma"/>
            <family val="2"/>
          </rPr>
          <t xml:space="preserve">
Incluye:
-Costo de mantenimiento
-Valor a amortizar de la siembra nueva
-Cosecha
</t>
        </r>
      </text>
    </comment>
  </commentList>
</comments>
</file>

<file path=xl/sharedStrings.xml><?xml version="1.0" encoding="utf-8"?>
<sst xmlns="http://schemas.openxmlformats.org/spreadsheetml/2006/main" count="1083" uniqueCount="411">
  <si>
    <t>Unitaria</t>
  </si>
  <si>
    <t xml:space="preserve">Costos indirectos y administrativos </t>
  </si>
  <si>
    <t xml:space="preserve">Asistencia técnica </t>
  </si>
  <si>
    <t>Unidad</t>
  </si>
  <si>
    <t>Cantidad</t>
  </si>
  <si>
    <t>Global</t>
  </si>
  <si>
    <t>Destape cepas, encalle residuos de cosecha</t>
  </si>
  <si>
    <t xml:space="preserve">unitario </t>
  </si>
  <si>
    <t>Porcentaje de área cercana</t>
  </si>
  <si>
    <t>Porcentaje de área lejana</t>
  </si>
  <si>
    <t xml:space="preserve">Kg. de panela programados por molienda </t>
  </si>
  <si>
    <t>MANO DE OBRA</t>
  </si>
  <si>
    <t>Jornal</t>
  </si>
  <si>
    <t>1.1</t>
  </si>
  <si>
    <t>1.2</t>
  </si>
  <si>
    <t xml:space="preserve">Oficios varios </t>
  </si>
  <si>
    <t>1.3</t>
  </si>
  <si>
    <t>1.4</t>
  </si>
  <si>
    <t>Molienda provisión de caña</t>
  </si>
  <si>
    <t>1.5</t>
  </si>
  <si>
    <t>1.6</t>
  </si>
  <si>
    <t>1.7</t>
  </si>
  <si>
    <t xml:space="preserve">Asistencia Técnica </t>
  </si>
  <si>
    <t xml:space="preserve">Global </t>
  </si>
  <si>
    <t>1.11</t>
  </si>
  <si>
    <t>Total Costos directos 1</t>
  </si>
  <si>
    <t>Limpieza de equipos molienda y evaporación</t>
  </si>
  <si>
    <t>2.3</t>
  </si>
  <si>
    <t xml:space="preserve">Limpieza y manejo de cuarto de moldeo </t>
  </si>
  <si>
    <t>Mantenimiento de equipos</t>
  </si>
  <si>
    <t>Asistencia técnica servicios</t>
  </si>
  <si>
    <t>Total Costos directos 2</t>
  </si>
  <si>
    <t>3.1</t>
  </si>
  <si>
    <t>3.2</t>
  </si>
  <si>
    <t>3.3</t>
  </si>
  <si>
    <t>3.4</t>
  </si>
  <si>
    <t>3.5</t>
  </si>
  <si>
    <t>3.6</t>
  </si>
  <si>
    <t>Aceite Vegetal</t>
  </si>
  <si>
    <t>3.7</t>
  </si>
  <si>
    <t>3.8</t>
  </si>
  <si>
    <t>3.9</t>
  </si>
  <si>
    <t>Grasas</t>
  </si>
  <si>
    <t>Aceite lubricante</t>
  </si>
  <si>
    <t xml:space="preserve">Asistencia técnica insumos </t>
  </si>
  <si>
    <t>Asistencia técnica a manejo de insumos</t>
  </si>
  <si>
    <t>Total Costos directos 3</t>
  </si>
  <si>
    <t>Administración de labores numeral 3</t>
  </si>
  <si>
    <t xml:space="preserve">Asistencia técnica otros insumos </t>
  </si>
  <si>
    <t>Administrativos otros insumos</t>
  </si>
  <si>
    <t xml:space="preserve">Costos directos elaboración de miel </t>
  </si>
  <si>
    <t>Costos indirectos elaboración de miel</t>
  </si>
  <si>
    <t>1.9</t>
  </si>
  <si>
    <t>1.10</t>
  </si>
  <si>
    <t>Administración de labores numeral 1</t>
  </si>
  <si>
    <t>Total  Costos indirectos 1.</t>
  </si>
  <si>
    <t>2.1</t>
  </si>
  <si>
    <t>2.2</t>
  </si>
  <si>
    <t>2.4</t>
  </si>
  <si>
    <t>2.5</t>
  </si>
  <si>
    <t>2.6</t>
  </si>
  <si>
    <t>Administración de labores numeral 2</t>
  </si>
  <si>
    <t>Total  Costos indirectos 2.</t>
  </si>
  <si>
    <t>Gas</t>
  </si>
  <si>
    <t>3.10</t>
  </si>
  <si>
    <t>3.11</t>
  </si>
  <si>
    <t>3.12</t>
  </si>
  <si>
    <t>3.13</t>
  </si>
  <si>
    <t>Total  Costos indirectos 3.</t>
  </si>
  <si>
    <t xml:space="preserve">Dias de molienda </t>
  </si>
  <si>
    <t>Horas por jornal en un día de molienda</t>
  </si>
  <si>
    <t>Transporte</t>
  </si>
  <si>
    <t>1.8</t>
  </si>
  <si>
    <t>Clarificación de jugos</t>
  </si>
  <si>
    <t>kg</t>
  </si>
  <si>
    <t xml:space="preserve">Kg panela /kg caña </t>
  </si>
  <si>
    <t>Cantidad caña  Kg caña/ 1 kg panela</t>
  </si>
  <si>
    <t>Costo caña       $ ./kg</t>
  </si>
  <si>
    <t>Costo cosecha       $ ./kg</t>
  </si>
  <si>
    <t>Caña costo en molino  $ ./kg</t>
  </si>
  <si>
    <t>°Brix panela</t>
  </si>
  <si>
    <t>Costo elaboración de 1 kg de panela bloque convencional</t>
  </si>
  <si>
    <t xml:space="preserve">Costo caña en molino para producción de 1kg de panela bloque convencional </t>
  </si>
  <si>
    <t>Caña $ ./ 1 kg panela</t>
  </si>
  <si>
    <t xml:space="preserve">Costo de producir un kg de panela bloque convencional </t>
  </si>
  <si>
    <t xml:space="preserve">$ ./ kg Panela </t>
  </si>
  <si>
    <t>°Brix miel</t>
  </si>
  <si>
    <t>Resumen - Costos de producción de miel</t>
  </si>
  <si>
    <t>Resumen - Costo de producción de panela</t>
  </si>
  <si>
    <t>Kg miel /kg caña</t>
  </si>
  <si>
    <t>Cantidad caña  Kg caña/ 1 kg miel</t>
  </si>
  <si>
    <t>Caña para 1kg miel
$ ./kg</t>
  </si>
  <si>
    <t>Costo elaboración de 1 kg de miel convencional</t>
  </si>
  <si>
    <t xml:space="preserve">Costo caña en molino para producción de 1kg de miel convencional </t>
  </si>
  <si>
    <t>Costo total de producción de 1 kg de miel convencional</t>
  </si>
  <si>
    <t>$ ./ kg miel</t>
  </si>
  <si>
    <t>Caña $ ./ 1 kg miel</t>
  </si>
  <si>
    <t>Valvulina</t>
  </si>
  <si>
    <t>INDICES</t>
  </si>
  <si>
    <t>Extracción (kg jugo / 100 kg de caña)</t>
  </si>
  <si>
    <t>ÍNDICES</t>
  </si>
  <si>
    <t>Caña para 1kg panela, $ ./kg</t>
  </si>
  <si>
    <t>Impurezas (kg jugo / 100 kg de caña)</t>
  </si>
  <si>
    <t>Recepción clasificación almacenamiento cañas</t>
  </si>
  <si>
    <t>2.7</t>
  </si>
  <si>
    <t>2.8</t>
  </si>
  <si>
    <t>2.9</t>
  </si>
  <si>
    <t>INDICES TÉCNICOS</t>
  </si>
  <si>
    <t>Clasificación, empaque y despachos</t>
  </si>
  <si>
    <t>1.12</t>
  </si>
  <si>
    <t>1.13</t>
  </si>
  <si>
    <t>1.14</t>
  </si>
  <si>
    <t>1.15</t>
  </si>
  <si>
    <t>1.16</t>
  </si>
  <si>
    <t>Personal de cocina</t>
  </si>
  <si>
    <t>Turnos de trabajo por día de molienda</t>
  </si>
  <si>
    <t>Energía</t>
  </si>
  <si>
    <t>Alquiler trapiche</t>
  </si>
  <si>
    <t>global</t>
  </si>
  <si>
    <t>2.10</t>
  </si>
  <si>
    <t>2.11</t>
  </si>
  <si>
    <t>2.12</t>
  </si>
  <si>
    <t>Regulador de ph (Cal)</t>
  </si>
  <si>
    <t>Regulador de ph (ácido cítrico)</t>
  </si>
  <si>
    <t>galón</t>
  </si>
  <si>
    <t>Agua potable</t>
  </si>
  <si>
    <t>Agua no potable</t>
  </si>
  <si>
    <t>DIESEL / ACPM</t>
  </si>
  <si>
    <t>unidad</t>
  </si>
  <si>
    <t>Combustible adicional (leña, guadua, etc)</t>
  </si>
  <si>
    <t>Floculante (balso, guácimo, cadillo, sintético)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</si>
  <si>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</si>
  <si>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</si>
  <si>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</si>
  <si>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</si>
  <si>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</si>
  <si>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</si>
  <si>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</si>
  <si>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</si>
  <si>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</si>
  <si>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</si>
  <si>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</si>
  <si>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</si>
  <si>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</si>
  <si>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Cuota de fomento panelero</t>
  </si>
  <si>
    <t>Falor facturado</t>
  </si>
  <si>
    <t>ICA</t>
  </si>
  <si>
    <t>Retefuente</t>
  </si>
  <si>
    <t>ReteICA</t>
  </si>
  <si>
    <t>Financieros (factoring p.e.)</t>
  </si>
  <si>
    <t>Otros gastos comerciales</t>
  </si>
  <si>
    <t>Pago por emisiones</t>
  </si>
  <si>
    <t>Pago por vertimientos</t>
  </si>
  <si>
    <t>Envase [especificar capacidad]</t>
  </si>
  <si>
    <t>Limpieza de envases</t>
  </si>
  <si>
    <t>FORMATO COSTOS - PROCESO DE PRODUCCIÓN DE MIEL VIRGEN</t>
  </si>
  <si>
    <t>FORMATO COSTOS - PROCESO DE PRODUCCIÓN DE PANELA</t>
  </si>
  <si>
    <t>Análisis de suelos</t>
  </si>
  <si>
    <t>Rocería y limpieza con guadaña</t>
  </si>
  <si>
    <t>Rocería y limpieza con machete</t>
  </si>
  <si>
    <t>Aplicación correctivos suelos</t>
  </si>
  <si>
    <t>Subtotal 1 costos directos siembras.</t>
  </si>
  <si>
    <t>Subtotal 1 costos indirectos siembras.</t>
  </si>
  <si>
    <t xml:space="preserve">Insumos desinfección de semillas </t>
  </si>
  <si>
    <t xml:space="preserve">Herramientas </t>
  </si>
  <si>
    <t>FORMATO COSTOS - ESTABLECIMIENTO DE CULTIVO NUEVO (SIEMBRA)</t>
  </si>
  <si>
    <t>Descripción del Paquete Tecnológico para la siembra de lotes de caña panelera</t>
  </si>
  <si>
    <t>Corte de semilla</t>
  </si>
  <si>
    <t>Asistencia técnica siembras de lotes caña panelera, siembra</t>
  </si>
  <si>
    <t>MANO DE OBRA SIEMBRA</t>
  </si>
  <si>
    <t>2.13</t>
  </si>
  <si>
    <t>2.14</t>
  </si>
  <si>
    <t>2.15</t>
  </si>
  <si>
    <t>INSUMOS</t>
  </si>
  <si>
    <t>Semilla</t>
  </si>
  <si>
    <t>Sub total 3. Costos indirectos</t>
  </si>
  <si>
    <t xml:space="preserve">Sub total 3. Costos directos </t>
  </si>
  <si>
    <t>SERVICIOS</t>
  </si>
  <si>
    <t>Transporte mayor de semillas</t>
  </si>
  <si>
    <t>Transporte menor de semillas (siembra)</t>
  </si>
  <si>
    <t>Transporte menor de semillas (resiembra)</t>
  </si>
  <si>
    <t xml:space="preserve">Valor arrendamiento del lote </t>
  </si>
  <si>
    <t>RESUMEN - COSTOS DE PRODUCCIÓN DE MIEL</t>
  </si>
  <si>
    <t>Cantidad de jornales</t>
  </si>
  <si>
    <t>Costos directos siembra de caña</t>
  </si>
  <si>
    <t>Costos indirectos siembra de caña</t>
  </si>
  <si>
    <t>Costo total siembra</t>
  </si>
  <si>
    <t>RESUMEN - COSTOS DE ESTABLECIMIENTO DE CULTIVOS NUEVOS</t>
  </si>
  <si>
    <t>Cantidad de jornales (siembra)</t>
  </si>
  <si>
    <t>Cantidad de jornales (Total)</t>
  </si>
  <si>
    <t>Costos total, elaboración de miel</t>
  </si>
  <si>
    <t>Costo de producción por kg de miel virgen</t>
  </si>
  <si>
    <t>Sub total 4. Costos directos comercial y obligaciones</t>
  </si>
  <si>
    <t>Administrativos otros comercial y obligaciones</t>
  </si>
  <si>
    <t>Sub total 4. Costos indirectos comercial y obligaciones</t>
  </si>
  <si>
    <t>Administrativos mano de obra</t>
  </si>
  <si>
    <t>TOTAL 3. COSTOS SERVICIOS</t>
  </si>
  <si>
    <t>Administrativos servicios</t>
  </si>
  <si>
    <t>Unitario</t>
  </si>
  <si>
    <t>Costo Unitario</t>
  </si>
  <si>
    <t>Valor Total</t>
  </si>
  <si>
    <t>Costo CAT por tonelada lejana</t>
  </si>
  <si>
    <t>Costo CAT por tonelada cercana</t>
  </si>
  <si>
    <t>Costo total cosecha lejana</t>
  </si>
  <si>
    <t>Costo total cosecha cercana</t>
  </si>
  <si>
    <t>Costos indirectos cosecha de caña</t>
  </si>
  <si>
    <t>Costos directos cosecha de caña</t>
  </si>
  <si>
    <t>TOTAL 3. SERVICIOS</t>
  </si>
  <si>
    <t>Sub total 3. Costos directos</t>
  </si>
  <si>
    <t>Alimentación</t>
  </si>
  <si>
    <t>Mantenimiento de vías y caminos</t>
  </si>
  <si>
    <t>Transporte vehicular</t>
  </si>
  <si>
    <t>TOTAL 2. INSUMOS</t>
  </si>
  <si>
    <t>Sub total 2. Costos indirectos</t>
  </si>
  <si>
    <t>Sub total 2. Costos directos</t>
  </si>
  <si>
    <t>Asistencia técnica</t>
  </si>
  <si>
    <t>Mantenimiento de mulas</t>
  </si>
  <si>
    <t>Herramientas</t>
  </si>
  <si>
    <t>Sub total 1. Costos indirectos</t>
  </si>
  <si>
    <t>Sub total 1. Costos directos</t>
  </si>
  <si>
    <t>Apila caña</t>
  </si>
  <si>
    <t>Arriero (con mula)</t>
  </si>
  <si>
    <t>Arriero (sin mula)</t>
  </si>
  <si>
    <t>Alzador</t>
  </si>
  <si>
    <t>Cortero</t>
  </si>
  <si>
    <t>Cañas lejanas a la planta de producción</t>
  </si>
  <si>
    <t>Cañas cercanas a la planta de producción</t>
  </si>
  <si>
    <t>FORMATO COSTOS - COSECHA DE LA CAÑA</t>
  </si>
  <si>
    <t>Resiembra de cepas faltantes o reemplazo</t>
  </si>
  <si>
    <t>2.16</t>
  </si>
  <si>
    <t xml:space="preserve">Sub total 2. Costos directos </t>
  </si>
  <si>
    <t>Costos directos mantenimiento</t>
  </si>
  <si>
    <t>Costos indirectos mantenimiento</t>
  </si>
  <si>
    <t>Costo total mantenimiento</t>
  </si>
  <si>
    <t>FORMATO COSTOS - MANTENIMIENTO DE SOCAS</t>
  </si>
  <si>
    <t>Rentabilidad de la caña (%)</t>
  </si>
  <si>
    <t>RESUMEN - COSTOS DE PRODUCCIÓN DE PANELA</t>
  </si>
  <si>
    <t xml:space="preserve">Costos directos elaboración de panela </t>
  </si>
  <si>
    <t>Costos indirectos elaboración de panela</t>
  </si>
  <si>
    <t>Costos total, elaboración de panela</t>
  </si>
  <si>
    <t>Costo de producción por kg de panela</t>
  </si>
  <si>
    <t>$ / kg miel - proceso</t>
  </si>
  <si>
    <t>$ ./ kg panela - proceso</t>
  </si>
  <si>
    <t>TOTAL 1. MANO DE OBRA</t>
  </si>
  <si>
    <t>TOTAL 1. MANO DE OBRA.</t>
  </si>
  <si>
    <t>TOTAL 2. INSUMOS.</t>
  </si>
  <si>
    <t>TOTAL 4. COMERCIAL Y OBLIGACIONES.</t>
  </si>
  <si>
    <t>Sub total 1. Costos directos mano de obra</t>
  </si>
  <si>
    <t>Sub total 1. Costos indirectos mano de obra</t>
  </si>
  <si>
    <t>TOTAL 1. MANO DE OBRA SIEMBRA.</t>
  </si>
  <si>
    <t>Sub total 3. Costos directos servicios</t>
  </si>
  <si>
    <t>Sub total 3. Costos indirectos servicios</t>
  </si>
  <si>
    <t>TOTAL 3. SERVICIOS.</t>
  </si>
  <si>
    <t>Sub total 2. Costos directos insumos</t>
  </si>
  <si>
    <t>Sub total 2. Costos indirectos insumos</t>
  </si>
  <si>
    <t xml:space="preserve">Kg. de miel programados por molienda </t>
  </si>
  <si>
    <t>°Brix jugo de caña crudo</t>
  </si>
  <si>
    <t>Costo por kg de caña</t>
  </si>
  <si>
    <t>Ponderado de costos de cosecha por kg</t>
  </si>
  <si>
    <t>2.17</t>
  </si>
  <si>
    <t>2.18</t>
  </si>
  <si>
    <t>Gastos de Venta / Obligaciones</t>
  </si>
  <si>
    <t xml:space="preserve"> </t>
  </si>
  <si>
    <t>Fecha</t>
  </si>
  <si>
    <t>Departamento</t>
  </si>
  <si>
    <t>Municipio</t>
  </si>
  <si>
    <t>Vereda</t>
  </si>
  <si>
    <t>Finca</t>
  </si>
  <si>
    <t>Productor</t>
  </si>
  <si>
    <t>RESUMEN - COSTOS DE MANTENIMIENTO DE SOCAS</t>
  </si>
  <si>
    <t>TOTAL 2. COSTOS INSUMOS.</t>
  </si>
  <si>
    <t>TOTAL 3. COSTOS SERVICIOS.</t>
  </si>
  <si>
    <t>Producción de caña esperada en siembra (t/ha-pv)</t>
  </si>
  <si>
    <t>Producción de caña esperada en mantenimiento (t/ha-pv)</t>
  </si>
  <si>
    <t>Cantidad de mulas por arriero</t>
  </si>
  <si>
    <t>INFORMACIÓN DE LA UNIDAD PRODUCTIVA</t>
  </si>
  <si>
    <t>Nombre de la unidad productiva</t>
  </si>
  <si>
    <t>INFORMACIÓN DE MOLIENDA</t>
  </si>
  <si>
    <t>OTROS COSTOS</t>
  </si>
  <si>
    <t>Otros</t>
  </si>
  <si>
    <t>5.1</t>
  </si>
  <si>
    <t>5.2</t>
  </si>
  <si>
    <t>5.3</t>
  </si>
  <si>
    <t>5.4</t>
  </si>
  <si>
    <t>Sub total 5. Costos directos otros costos</t>
  </si>
  <si>
    <t>Sub total 5. Costos indirectos otros costos</t>
  </si>
  <si>
    <t>TOTAL 5. OTROS COSTOS</t>
  </si>
  <si>
    <t>lt</t>
  </si>
  <si>
    <t>Tiempo de renovación (cantidad de cortes)</t>
  </si>
  <si>
    <t>Valor a amortizar por corte</t>
  </si>
  <si>
    <t>Bodegaje</t>
  </si>
  <si>
    <t>Otros gastos</t>
  </si>
  <si>
    <t>Movimiento de bagazo (húmedo)</t>
  </si>
  <si>
    <t>Movimiento de bagazo (seco)</t>
  </si>
  <si>
    <t>Suministro de combustible a la hornilla</t>
  </si>
  <si>
    <t>Evaporación a punto de miel</t>
  </si>
  <si>
    <t>CAÑA (en caso de ser comprada)</t>
  </si>
  <si>
    <t>Tipo de corte</t>
  </si>
  <si>
    <t>Aplicación fertilizante</t>
  </si>
  <si>
    <t>Planeación o dirección</t>
  </si>
  <si>
    <t>5.5</t>
  </si>
  <si>
    <t>5.6</t>
  </si>
  <si>
    <t>4.14</t>
  </si>
  <si>
    <t>2.19</t>
  </si>
  <si>
    <t>2.20</t>
  </si>
  <si>
    <t>Ración/turno</t>
  </si>
  <si>
    <t>Etiqueta</t>
  </si>
  <si>
    <t>INFORMACIÓN DE CAPACIDAD DE MOLIENDA</t>
  </si>
  <si>
    <t>Panela estimada a producir (kg/ha)</t>
  </si>
  <si>
    <t>Análisis por hectárea</t>
  </si>
  <si>
    <t>Costo Total</t>
  </si>
  <si>
    <t>Concepto</t>
  </si>
  <si>
    <t>Indicadores (por ha)</t>
  </si>
  <si>
    <t>Mano de obra</t>
  </si>
  <si>
    <t>Cosecha</t>
  </si>
  <si>
    <t>Siembra nueva</t>
  </si>
  <si>
    <t>Mantenimiento</t>
  </si>
  <si>
    <t>Transformación</t>
  </si>
  <si>
    <t>Total</t>
  </si>
  <si>
    <t>Insumos</t>
  </si>
  <si>
    <t>Costo</t>
  </si>
  <si>
    <t>Conversión</t>
  </si>
  <si>
    <t>Análisis por eslabón</t>
  </si>
  <si>
    <t>Ingreso por venta</t>
  </si>
  <si>
    <t>Utilidad</t>
  </si>
  <si>
    <t>Promedio</t>
  </si>
  <si>
    <t>Trapiche</t>
  </si>
  <si>
    <t>Caña (en patio)</t>
  </si>
  <si>
    <t>Rentabilidad de la panela</t>
  </si>
  <si>
    <t>Utilidad ($/kg Panela)</t>
  </si>
  <si>
    <t>Precio de venta ($/kg Panela)</t>
  </si>
  <si>
    <t>Caña (t)</t>
  </si>
  <si>
    <t>Panela (kg)</t>
  </si>
  <si>
    <t>Calculado</t>
  </si>
  <si>
    <t>Cosecha y Transformación</t>
  </si>
  <si>
    <t>Eslabón</t>
  </si>
  <si>
    <t xml:space="preserve">Cuota de fomento panelero </t>
  </si>
  <si>
    <t>Imprevistos</t>
  </si>
  <si>
    <t>Cundinamarca</t>
  </si>
  <si>
    <t>Arado Trazado y ahoyado</t>
  </si>
  <si>
    <t>Selección y desinfección de semilla</t>
  </si>
  <si>
    <t>Siembra (distribución semilla, fertilización y tapado)</t>
  </si>
  <si>
    <t>Transporte interno de semillas</t>
  </si>
  <si>
    <t>Control de Arvenses-Malezas</t>
  </si>
  <si>
    <t>Fertilizante 1 [0-0-60] KCL</t>
  </si>
  <si>
    <t>Fertilizante 2 [Materia Orgánica] Gallianaza compostada</t>
  </si>
  <si>
    <t>Plaguicida 1 [tierra diatomea]</t>
  </si>
  <si>
    <t>Herbicida 1 (Combo) Metsulfuron+Hezazinona+Ametrina</t>
  </si>
  <si>
    <t>Transporte de fertilizantes, flete</t>
  </si>
  <si>
    <t xml:space="preserve">Cepillado y cuidado de cepas </t>
  </si>
  <si>
    <t xml:space="preserve">Semillas Obtención </t>
  </si>
  <si>
    <t>Aplicación de fertilizantes y aporque cepas</t>
  </si>
  <si>
    <t>Corrección de suelos- Aplicación de M.O.</t>
  </si>
  <si>
    <t>Limpieza 1-Control Malezas</t>
  </si>
  <si>
    <t>Limpieza 2- Control Malezas</t>
  </si>
  <si>
    <t>Fletes insumos</t>
  </si>
  <si>
    <t>Parejo</t>
  </si>
  <si>
    <t>Cortero a todo costo</t>
  </si>
  <si>
    <t>Carguero a todo costo</t>
  </si>
  <si>
    <t>Apila caña a todo costo</t>
  </si>
  <si>
    <t>Fletes de mula</t>
  </si>
  <si>
    <t>Fletes</t>
  </si>
  <si>
    <t>Planeación / dirección (encargado)</t>
  </si>
  <si>
    <t>Destajo</t>
  </si>
  <si>
    <t>Molienda provisión de caña (prenseros 3)</t>
  </si>
  <si>
    <t>Cuatro (limpia jugos y suministra bagazo a hornilla)</t>
  </si>
  <si>
    <t>Hornero (Suministro de combustible a la hornilla)</t>
  </si>
  <si>
    <t>Puntero</t>
  </si>
  <si>
    <t>Gaverero</t>
  </si>
  <si>
    <t>Litro</t>
  </si>
  <si>
    <t>Empaque [caja]</t>
  </si>
  <si>
    <t>Pegante harina de trigo</t>
  </si>
  <si>
    <t>Libra</t>
  </si>
  <si>
    <t>energia electrica</t>
  </si>
  <si>
    <t>kw/h</t>
  </si>
  <si>
    <t>Alquiler trapiche (Drenaje)</t>
  </si>
  <si>
    <t>Alimentacion</t>
  </si>
  <si>
    <t>Fertilizante 3 [10-50-0] MAP en suelos alcalinos</t>
  </si>
  <si>
    <t>enero de 2025</t>
  </si>
  <si>
    <t>Crisantos Bustos</t>
  </si>
  <si>
    <t>La Abuelita</t>
  </si>
  <si>
    <t>Utica</t>
  </si>
  <si>
    <t>10</t>
  </si>
  <si>
    <t>Regulador de ph (Cal) SOSFATO MONOCALCICO</t>
  </si>
  <si>
    <t>$2710 en octubre de 2024</t>
  </si>
  <si>
    <t>para 10 ton</t>
  </si>
  <si>
    <t>corrector d suelo</t>
  </si>
  <si>
    <t>1 ha</t>
  </si>
  <si>
    <t>x7</t>
  </si>
  <si>
    <t>1 especial para caña</t>
  </si>
  <si>
    <t>1 combo</t>
  </si>
  <si>
    <t>definir si es a 1 año o 10 años</t>
  </si>
  <si>
    <t>Semilla (Resiembra)</t>
  </si>
  <si>
    <t>Correctivos de suelo</t>
  </si>
  <si>
    <t>Cantidad de caña a cosechar (ton/ha)</t>
  </si>
  <si>
    <t>TRANSPORTE</t>
  </si>
  <si>
    <t>TOTAL 4. COSTOS TRANSPORTE.</t>
  </si>
  <si>
    <t>Sub total 4. Costos transporte</t>
  </si>
  <si>
    <t>Externo</t>
  </si>
  <si>
    <t>Interno</t>
  </si>
  <si>
    <t>Sub total 4. Costos indirectos</t>
  </si>
  <si>
    <t>Mano de obra empaque</t>
  </si>
  <si>
    <t>Sub total 1. Costos directos comercial y obligaciones</t>
  </si>
  <si>
    <t>Sub total 1. Costos indirectos comercial y obligaciones</t>
  </si>
  <si>
    <t>TOTAL 1. COMERCIAL Y OBLIGACIONES.</t>
  </si>
  <si>
    <t>Gastos Comercialización</t>
  </si>
  <si>
    <t>FORMATO COSTOS - GASTOS COMERCIALIZACION</t>
  </si>
  <si>
    <t>Costos directos gastos comercializacion</t>
  </si>
  <si>
    <t>Costos indirectos gastos comercializacion</t>
  </si>
  <si>
    <t>Costos total, comercializacion</t>
  </si>
  <si>
    <t xml:space="preserve">Total costo comercializacion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</si>
</sst>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5">
    <numFmt numFmtId="42" formatCode="_-&quot;$&quot;\ * #,##0_-;\-&quot;$&quot;\ * #,##0_-;_-&quot;$&quot;\ * &quot;-&quot;_-;_-@_-"/>
    <numFmt numFmtId="43" formatCode="_-* #,##0.00_-;\-* #,##0.00_-;_-* &quot;-&quot;??_-;_-@_-"/>
    <numFmt numFmtId="164" formatCode="_-&quot;$&quot;\ * #,##0.0_-;\-&quot;$&quot;\ * #,##0.0_-;_-&quot;$&quot;\ * &quot;-&quot;_-;_-@_-"/>
    <numFmt numFmtId="165" formatCode="0.000"/>
    <numFmt numFmtId="166" formatCode="0.0"/>
    <numFmt numFmtId="167" formatCode="_([$$-240A]\ * #,##0.00_);_([$$-240A]\ * \(#,##0.00\);_([$$-240A]\ * &quot;-&quot;??_);_(@_)"/>
    <numFmt numFmtId="168" formatCode="_-* #,##0\ _P_t_s_-;\-* #,##0\ _P_t_s_-;_-* &quot;-&quot;\ _P_t_s_-;_-@_-"/>
    <numFmt numFmtId="169" formatCode="_ * #,##0_ ;_ * \-#,##0_ ;_ * &quot;-&quot;_ ;_ @_ "/>
    <numFmt numFmtId="170" formatCode="_ * #,##0.00_ ;_ * \-#,##0.00_ ;_ * &quot;-&quot;_ ;_ @_ "/>
    <numFmt numFmtId="171" formatCode="_-* #,##0.0_-;\-* #,##0.0_-;_-* &quot;-&quot;??_-;_-@_-"/>
    <numFmt numFmtId="172" formatCode="_-* #,##0.00\ &quot;Pts&quot;_-;\-* #,##0.00\ &quot;Pts&quot;_-;_-* &quot;-&quot;??\ &quot;Pts&quot;_-;_-@_-"/>
    <numFmt numFmtId="173" formatCode="#,##0.0000"/>
    <numFmt numFmtId="174" formatCode="_ &quot;$&quot;\ * #,##0.0_ ;_ &quot;$&quot;\ * \-#,##0.0_ ;_ &quot;$&quot;\ * &quot;-&quot;_ ;_ @_ "/>
    <numFmt numFmtId="175" formatCode="_ &quot;$&quot;\ * #,##0.000_ ;_ &quot;$&quot;\ * \-#,##0.000_ ;_ &quot;$&quot;\ * &quot;-&quot;_ ;_ @_ "/>
    <numFmt numFmtId="176" formatCode="_(&quot;$&quot;\ * #,##0.0_);_(&quot;$&quot;\ * \(#,##0.0\);_(&quot;$&quot;\ * &quot;-&quot;??_);_(@_)"/>
    <numFmt numFmtId="177" formatCode="_-&quot;$&quot;\ * #,##0.0_-;\-&quot;$&quot;\ * #,##0.0_-;_-&quot;$&quot;\ * &quot;-&quot;?_-;_-@_-"/>
    <numFmt numFmtId="178" formatCode="_ * #,##0.0_ ;_ * \-#,##0.0_ ;_ * &quot;-&quot;_ ;_ @_ "/>
    <numFmt numFmtId="179" formatCode="_-* #,##0.000\ _P_t_s_-;\-* #,##0.000\ _P_t_s_-;_-* &quot;-&quot;\ _P_t_s_-;_-@_-"/>
    <numFmt numFmtId="180" formatCode="_ &quot;$&quot;\ * #,##0_ ;_ &quot;$&quot;\ * \-#,##0_ ;_ &quot;$&quot;\ * &quot;-&quot;_ ;_ @_ "/>
    <numFmt numFmtId="181" formatCode="_-* #,##0.0\ _P_t_s_-;\-* #,##0.0\ _P_t_s_-;_-* &quot;-&quot;\ _P_t_s_-;_-@_-"/>
    <numFmt numFmtId="182" formatCode="_-* #,##0_-;\-* #,##0_-;_-* &quot;-&quot;??_-;_-@_-"/>
    <numFmt numFmtId="183" formatCode="_-* #,##0.0_-;\-* #,##0.0_-;_-* &quot;-&quot;?_-;_-@_-"/>
    <numFmt numFmtId="184" formatCode="_-* #,##0.000_-;\-* #,##0.000_-;_-* &quot;-&quot;?_-;_-@_-"/>
    <numFmt numFmtId="185" formatCode="_-&quot;$&quot;\ * #,##0_-;\-&quot;$&quot;\ * #,##0_-;_-&quot;$&quot;\ * &quot;-&quot;?_-;_-@_-"/>
    <numFmt numFmtId="186" formatCode="_-[$$-240A]\ * #,##0.00_-;\-[$$-240A]\ * #,##0.00_-;_-[$$-240A]\ * &quot;-&quot;??_-;_-@_-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theme="5" tint="-0.249977111117893"/>
      <name val="Arial"/>
      <family val="2"/>
    </font>
    <font>
      <b/>
      <sz val="10"/>
      <name val="Arial"/>
      <family val="2"/>
    </font>
    <font>
      <sz val="10"/>
      <color indexed="30"/>
      <name val="Arial"/>
      <family val="2"/>
    </font>
    <font>
      <b/>
      <u/>
      <sz val="10"/>
      <name val="Arial"/>
      <family val="2"/>
    </font>
    <font>
      <sz val="10"/>
      <color indexed="62"/>
      <name val="Arial"/>
      <family val="2"/>
    </font>
    <font>
      <sz val="12"/>
      <color theme="5" tint="-0.249977111117893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5" tint="-0.24997711111789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10"/>
      <color indexed="1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436">
    <xf numFmtId="0" fontId="0" fillId="0" borderId="0" xfId="0"/>
    <xf numFmtId="167" fontId="0" fillId="0" borderId="0" xfId="0" applyNumberFormat="1"/>
    <xf numFmtId="9" fontId="0" fillId="0" borderId="0" xfId="0" applyNumberFormat="1"/>
    <xf numFmtId="0" fontId="0" fillId="0" borderId="0" xfId="0" applyBorder="1"/>
    <xf numFmtId="0" fontId="4" fillId="0" borderId="0" xfId="0" applyFont="1"/>
    <xf numFmtId="0" fontId="4" fillId="0" borderId="0" xfId="0" applyFont="1" applyBorder="1"/>
    <xf numFmtId="0" fontId="4" fillId="0" borderId="8" xfId="0" applyFont="1" applyFill="1" applyBorder="1" applyAlignment="1">
      <alignment horizontal="center"/>
    </xf>
    <xf numFmtId="0" fontId="0" fillId="0" borderId="0" xfId="0" applyFill="1" applyBorder="1"/>
    <xf numFmtId="0" fontId="5" fillId="0" borderId="0" xfId="0" applyFont="1" applyFill="1" applyBorder="1" applyAlignment="1"/>
    <xf numFmtId="169" fontId="8" fillId="0" borderId="0" xfId="0" applyNumberFormat="1" applyFont="1" applyFill="1" applyBorder="1"/>
    <xf numFmtId="169" fontId="8" fillId="0" borderId="0" xfId="0" applyNumberFormat="1" applyFont="1" applyFill="1" applyBorder="1" applyAlignment="1">
      <alignment horizontal="center"/>
    </xf>
    <xf numFmtId="169" fontId="9" fillId="0" borderId="0" xfId="0" applyNumberFormat="1" applyFont="1" applyFill="1" applyBorder="1"/>
    <xf numFmtId="166" fontId="4" fillId="0" borderId="7" xfId="0" applyNumberFormat="1" applyFont="1" applyBorder="1" applyAlignment="1">
      <alignment horizontal="center"/>
    </xf>
    <xf numFmtId="166" fontId="4" fillId="0" borderId="8" xfId="0" applyNumberFormat="1" applyFont="1" applyBorder="1"/>
    <xf numFmtId="166" fontId="4" fillId="0" borderId="8" xfId="0" applyNumberFormat="1" applyFont="1" applyBorder="1" applyAlignment="1">
      <alignment horizontal="center"/>
    </xf>
    <xf numFmtId="42" fontId="4" fillId="0" borderId="9" xfId="3" applyFont="1" applyBorder="1"/>
    <xf numFmtId="42" fontId="0" fillId="0" borderId="0" xfId="3" applyFont="1"/>
    <xf numFmtId="9" fontId="4" fillId="0" borderId="8" xfId="0" applyNumberFormat="1" applyFont="1" applyFill="1" applyBorder="1" applyAlignment="1">
      <alignment horizontal="center"/>
    </xf>
    <xf numFmtId="164" fontId="4" fillId="0" borderId="9" xfId="3" applyNumberFormat="1" applyFont="1" applyBorder="1"/>
    <xf numFmtId="166" fontId="4" fillId="0" borderId="0" xfId="0" applyNumberFormat="1" applyFont="1" applyBorder="1"/>
    <xf numFmtId="0" fontId="10" fillId="2" borderId="10" xfId="0" applyFont="1" applyFill="1" applyBorder="1"/>
    <xf numFmtId="0" fontId="8" fillId="2" borderId="11" xfId="0" applyFont="1" applyFill="1" applyBorder="1"/>
    <xf numFmtId="171" fontId="8" fillId="2" borderId="11" xfId="0" applyNumberFormat="1" applyFont="1" applyFill="1" applyBorder="1"/>
    <xf numFmtId="169" fontId="8" fillId="2" borderId="11" xfId="0" applyNumberFormat="1" applyFont="1" applyFill="1" applyBorder="1"/>
    <xf numFmtId="170" fontId="8" fillId="2" borderId="11" xfId="0" applyNumberFormat="1" applyFont="1" applyFill="1" applyBorder="1"/>
    <xf numFmtId="3" fontId="4" fillId="0" borderId="0" xfId="0" applyNumberFormat="1" applyFont="1" applyBorder="1"/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/>
    <xf numFmtId="169" fontId="8" fillId="2" borderId="2" xfId="0" applyNumberFormat="1" applyFont="1" applyFill="1" applyBorder="1" applyAlignment="1">
      <alignment horizontal="center"/>
    </xf>
    <xf numFmtId="2" fontId="11" fillId="0" borderId="0" xfId="0" applyNumberFormat="1" applyFont="1" applyFill="1" applyBorder="1"/>
    <xf numFmtId="0" fontId="4" fillId="0" borderId="8" xfId="0" applyFont="1" applyBorder="1" applyAlignment="1">
      <alignment horizontal="center"/>
    </xf>
    <xf numFmtId="2" fontId="0" fillId="0" borderId="0" xfId="0" applyNumberFormat="1" applyFill="1" applyBorder="1"/>
    <xf numFmtId="0" fontId="10" fillId="6" borderId="10" xfId="0" applyFont="1" applyFill="1" applyBorder="1"/>
    <xf numFmtId="173" fontId="4" fillId="0" borderId="0" xfId="0" applyNumberFormat="1" applyFont="1" applyBorder="1"/>
    <xf numFmtId="165" fontId="4" fillId="0" borderId="0" xfId="0" applyNumberFormat="1" applyFont="1" applyBorder="1"/>
    <xf numFmtId="174" fontId="0" fillId="0" borderId="0" xfId="0" applyNumberFormat="1" applyFill="1" applyBorder="1"/>
    <xf numFmtId="175" fontId="0" fillId="0" borderId="0" xfId="0" applyNumberFormat="1" applyFill="1" applyBorder="1"/>
    <xf numFmtId="167" fontId="4" fillId="0" borderId="0" xfId="2" applyNumberFormat="1" applyFont="1" applyBorder="1"/>
    <xf numFmtId="176" fontId="0" fillId="0" borderId="0" xfId="0" applyNumberFormat="1" applyBorder="1"/>
    <xf numFmtId="0" fontId="0" fillId="0" borderId="0" xfId="0" applyAlignment="1"/>
    <xf numFmtId="164" fontId="4" fillId="0" borderId="8" xfId="3" applyNumberFormat="1" applyFont="1" applyBorder="1"/>
    <xf numFmtId="0" fontId="10" fillId="2" borderId="11" xfId="0" applyFont="1" applyFill="1" applyBorder="1"/>
    <xf numFmtId="0" fontId="10" fillId="2" borderId="11" xfId="0" applyFont="1" applyFill="1" applyBorder="1" applyAlignment="1">
      <alignment horizontal="center"/>
    </xf>
    <xf numFmtId="42" fontId="10" fillId="2" borderId="11" xfId="3" applyFont="1" applyFill="1" applyBorder="1"/>
    <xf numFmtId="42" fontId="4" fillId="0" borderId="0" xfId="3" applyFont="1" applyBorder="1"/>
    <xf numFmtId="165" fontId="0" fillId="13" borderId="8" xfId="0" applyNumberFormat="1" applyFill="1" applyBorder="1" applyAlignment="1">
      <alignment horizontal="center"/>
    </xf>
    <xf numFmtId="2" fontId="0" fillId="13" borderId="8" xfId="0" applyNumberFormat="1" applyFill="1" applyBorder="1" applyAlignment="1">
      <alignment horizontal="center"/>
    </xf>
    <xf numFmtId="42" fontId="0" fillId="13" borderId="8" xfId="3" applyFont="1" applyFill="1" applyBorder="1" applyAlignment="1">
      <alignment horizontal="center"/>
    </xf>
    <xf numFmtId="2" fontId="0" fillId="16" borderId="8" xfId="0" applyNumberFormat="1" applyFill="1" applyBorder="1" applyAlignment="1">
      <alignment horizontal="center"/>
    </xf>
    <xf numFmtId="42" fontId="8" fillId="16" borderId="8" xfId="3" applyFont="1" applyFill="1" applyBorder="1" applyAlignment="1">
      <alignment horizontal="center"/>
    </xf>
    <xf numFmtId="0" fontId="4" fillId="0" borderId="0" xfId="0" applyFont="1" applyFill="1" applyBorder="1" applyAlignment="1">
      <alignment horizontal="left" indent="1"/>
    </xf>
    <xf numFmtId="42" fontId="6" fillId="12" borderId="8" xfId="3" applyFont="1" applyFill="1" applyBorder="1" applyAlignment="1">
      <alignment horizontal="center"/>
    </xf>
    <xf numFmtId="42" fontId="8" fillId="8" borderId="8" xfId="3" applyFont="1" applyFill="1" applyBorder="1"/>
    <xf numFmtId="179" fontId="0" fillId="0" borderId="0" xfId="0" applyNumberFormat="1"/>
    <xf numFmtId="0" fontId="0" fillId="15" borderId="8" xfId="0" applyFill="1" applyBorder="1" applyAlignment="1">
      <alignment horizontal="center"/>
    </xf>
    <xf numFmtId="42" fontId="0" fillId="0" borderId="0" xfId="0" applyNumberFormat="1"/>
    <xf numFmtId="42" fontId="5" fillId="17" borderId="8" xfId="3" applyFont="1" applyFill="1" applyBorder="1" applyAlignment="1">
      <alignment horizontal="center"/>
    </xf>
    <xf numFmtId="178" fontId="4" fillId="0" borderId="9" xfId="0" applyNumberFormat="1" applyFont="1" applyBorder="1" applyAlignment="1">
      <alignment horizontal="center"/>
    </xf>
    <xf numFmtId="9" fontId="4" fillId="4" borderId="8" xfId="0" applyNumberFormat="1" applyFont="1" applyFill="1" applyBorder="1"/>
    <xf numFmtId="0" fontId="8" fillId="2" borderId="4" xfId="0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/>
    </xf>
    <xf numFmtId="42" fontId="0" fillId="0" borderId="0" xfId="3" applyFont="1" applyBorder="1"/>
    <xf numFmtId="170" fontId="4" fillId="0" borderId="0" xfId="0" applyNumberFormat="1" applyFont="1" applyBorder="1"/>
    <xf numFmtId="0" fontId="8" fillId="2" borderId="5" xfId="0" applyFont="1" applyFill="1" applyBorder="1"/>
    <xf numFmtId="0" fontId="8" fillId="2" borderId="5" xfId="0" applyFont="1" applyFill="1" applyBorder="1" applyAlignment="1">
      <alignment horizontal="center"/>
    </xf>
    <xf numFmtId="171" fontId="8" fillId="2" borderId="5" xfId="0" applyNumberFormat="1" applyFont="1" applyFill="1" applyBorder="1" applyAlignment="1">
      <alignment horizontal="center"/>
    </xf>
    <xf numFmtId="169" fontId="8" fillId="2" borderId="6" xfId="0" applyNumberFormat="1" applyFont="1" applyFill="1" applyBorder="1" applyAlignment="1">
      <alignment horizontal="center"/>
    </xf>
    <xf numFmtId="164" fontId="4" fillId="0" borderId="0" xfId="3" applyNumberFormat="1" applyFont="1" applyBorder="1"/>
    <xf numFmtId="0" fontId="7" fillId="0" borderId="0" xfId="0" applyFont="1" applyBorder="1" applyAlignment="1"/>
    <xf numFmtId="0" fontId="8" fillId="0" borderId="0" xfId="0" applyFont="1" applyBorder="1"/>
    <xf numFmtId="164" fontId="8" fillId="0" borderId="0" xfId="3" applyNumberFormat="1" applyFont="1" applyBorder="1"/>
    <xf numFmtId="164" fontId="4" fillId="0" borderId="0" xfId="3" applyNumberFormat="1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164" fontId="4" fillId="0" borderId="0" xfId="3" applyNumberFormat="1" applyFont="1" applyFill="1" applyBorder="1"/>
    <xf numFmtId="2" fontId="4" fillId="0" borderId="0" xfId="0" applyNumberFormat="1" applyFont="1"/>
    <xf numFmtId="0" fontId="4" fillId="0" borderId="0" xfId="0" applyFont="1" applyFill="1" applyBorder="1" applyAlignment="1">
      <alignment horizontal="center"/>
    </xf>
    <xf numFmtId="0" fontId="4" fillId="0" borderId="8" xfId="0" applyFont="1" applyBorder="1" applyAlignment="1">
      <alignment vertical="center"/>
    </xf>
    <xf numFmtId="164" fontId="4" fillId="0" borderId="8" xfId="3" applyNumberFormat="1" applyFont="1" applyBorder="1" applyAlignment="1">
      <alignment horizontal="right"/>
    </xf>
    <xf numFmtId="0" fontId="4" fillId="0" borderId="7" xfId="0" applyFont="1" applyBorder="1"/>
    <xf numFmtId="164" fontId="4" fillId="0" borderId="9" xfId="3" applyNumberFormat="1" applyFont="1" applyFill="1" applyBorder="1"/>
    <xf numFmtId="0" fontId="10" fillId="19" borderId="10" xfId="0" applyFont="1" applyFill="1" applyBorder="1" applyAlignment="1">
      <alignment vertical="center"/>
    </xf>
    <xf numFmtId="0" fontId="4" fillId="0" borderId="7" xfId="0" applyFont="1" applyBorder="1" applyAlignment="1">
      <alignment horizontal="center"/>
    </xf>
    <xf numFmtId="164" fontId="10" fillId="2" borderId="11" xfId="3" applyNumberFormat="1" applyFont="1" applyFill="1" applyBorder="1"/>
    <xf numFmtId="0" fontId="4" fillId="5" borderId="8" xfId="0" applyFont="1" applyFill="1" applyBorder="1"/>
    <xf numFmtId="0" fontId="0" fillId="5" borderId="8" xfId="0" applyFill="1" applyBorder="1"/>
    <xf numFmtId="166" fontId="4" fillId="5" borderId="8" xfId="0" applyNumberFormat="1" applyFont="1" applyFill="1" applyBorder="1"/>
    <xf numFmtId="171" fontId="4" fillId="5" borderId="8" xfId="0" applyNumberFormat="1" applyFont="1" applyFill="1" applyBorder="1"/>
    <xf numFmtId="169" fontId="4" fillId="5" borderId="8" xfId="0" applyNumberFormat="1" applyFont="1" applyFill="1" applyBorder="1"/>
    <xf numFmtId="0" fontId="3" fillId="5" borderId="8" xfId="0" applyFont="1" applyFill="1" applyBorder="1"/>
    <xf numFmtId="166" fontId="3" fillId="5" borderId="8" xfId="0" applyNumberFormat="1" applyFont="1" applyFill="1" applyBorder="1"/>
    <xf numFmtId="0" fontId="4" fillId="5" borderId="7" xfId="0" applyFont="1" applyFill="1" applyBorder="1"/>
    <xf numFmtId="174" fontId="4" fillId="5" borderId="9" xfId="0" applyNumberFormat="1" applyFont="1" applyFill="1" applyBorder="1"/>
    <xf numFmtId="0" fontId="0" fillId="5" borderId="10" xfId="0" applyFill="1" applyBorder="1"/>
    <xf numFmtId="0" fontId="4" fillId="5" borderId="11" xfId="0" applyFont="1" applyFill="1" applyBorder="1"/>
    <xf numFmtId="0" fontId="0" fillId="5" borderId="7" xfId="0" applyFill="1" applyBorder="1"/>
    <xf numFmtId="2" fontId="0" fillId="5" borderId="9" xfId="0" applyNumberFormat="1" applyFill="1" applyBorder="1"/>
    <xf numFmtId="1" fontId="0" fillId="5" borderId="9" xfId="0" applyNumberFormat="1" applyFill="1" applyBorder="1"/>
    <xf numFmtId="0" fontId="17" fillId="5" borderId="11" xfId="0" applyFont="1" applyFill="1" applyBorder="1"/>
    <xf numFmtId="0" fontId="4" fillId="5" borderId="10" xfId="0" applyFont="1" applyFill="1" applyBorder="1"/>
    <xf numFmtId="0" fontId="8" fillId="19" borderId="11" xfId="0" applyFont="1" applyFill="1" applyBorder="1" applyAlignment="1">
      <alignment vertical="center"/>
    </xf>
    <xf numFmtId="0" fontId="2" fillId="0" borderId="0" xfId="5"/>
    <xf numFmtId="9" fontId="0" fillId="0" borderId="12" xfId="6" applyFont="1" applyBorder="1"/>
    <xf numFmtId="9" fontId="0" fillId="4" borderId="9" xfId="6" applyFont="1" applyFill="1" applyBorder="1"/>
    <xf numFmtId="0" fontId="4" fillId="5" borderId="11" xfId="5" applyFont="1" applyFill="1" applyBorder="1"/>
    <xf numFmtId="0" fontId="17" fillId="5" borderId="11" xfId="5" applyFont="1" applyFill="1" applyBorder="1"/>
    <xf numFmtId="0" fontId="2" fillId="5" borderId="10" xfId="5" applyFill="1" applyBorder="1"/>
    <xf numFmtId="174" fontId="4" fillId="5" borderId="9" xfId="5" applyNumberFormat="1" applyFont="1" applyFill="1" applyBorder="1"/>
    <xf numFmtId="169" fontId="4" fillId="5" borderId="8" xfId="5" applyNumberFormat="1" applyFont="1" applyFill="1" applyBorder="1"/>
    <xf numFmtId="171" fontId="4" fillId="5" borderId="8" xfId="5" applyNumberFormat="1" applyFont="1" applyFill="1" applyBorder="1"/>
    <xf numFmtId="0" fontId="4" fillId="5" borderId="8" xfId="5" applyFont="1" applyFill="1" applyBorder="1"/>
    <xf numFmtId="166" fontId="4" fillId="5" borderId="8" xfId="5" applyNumberFormat="1" applyFont="1" applyFill="1" applyBorder="1"/>
    <xf numFmtId="0" fontId="2" fillId="5" borderId="7" xfId="5" applyFill="1" applyBorder="1"/>
    <xf numFmtId="0" fontId="4" fillId="5" borderId="7" xfId="5" applyFont="1" applyFill="1" applyBorder="1"/>
    <xf numFmtId="1" fontId="2" fillId="5" borderId="9" xfId="5" applyNumberFormat="1" applyFill="1" applyBorder="1"/>
    <xf numFmtId="0" fontId="2" fillId="5" borderId="8" xfId="5" applyFill="1" applyBorder="1"/>
    <xf numFmtId="166" fontId="3" fillId="5" borderId="8" xfId="5" applyNumberFormat="1" applyFont="1" applyFill="1" applyBorder="1"/>
    <xf numFmtId="0" fontId="3" fillId="5" borderId="8" xfId="5" applyFont="1" applyFill="1" applyBorder="1"/>
    <xf numFmtId="164" fontId="8" fillId="2" borderId="12" xfId="7" applyNumberFormat="1" applyFont="1" applyFill="1" applyBorder="1"/>
    <xf numFmtId="164" fontId="10" fillId="2" borderId="11" xfId="7" applyNumberFormat="1" applyFont="1" applyFill="1" applyBorder="1"/>
    <xf numFmtId="0" fontId="10" fillId="2" borderId="11" xfId="5" applyFont="1" applyFill="1" applyBorder="1" applyAlignment="1">
      <alignment horizontal="center"/>
    </xf>
    <xf numFmtId="0" fontId="10" fillId="2" borderId="11" xfId="5" applyFont="1" applyFill="1" applyBorder="1"/>
    <xf numFmtId="0" fontId="8" fillId="19" borderId="11" xfId="5" applyFont="1" applyFill="1" applyBorder="1" applyAlignment="1">
      <alignment vertical="center"/>
    </xf>
    <xf numFmtId="0" fontId="10" fillId="19" borderId="10" xfId="5" applyFont="1" applyFill="1" applyBorder="1" applyAlignment="1">
      <alignment vertical="center"/>
    </xf>
    <xf numFmtId="0" fontId="4" fillId="0" borderId="8" xfId="5" applyFont="1" applyBorder="1" applyAlignment="1">
      <alignment horizontal="center"/>
    </xf>
    <xf numFmtId="0" fontId="4" fillId="0" borderId="8" xfId="5" applyFont="1" applyBorder="1" applyAlignment="1">
      <alignment vertical="center"/>
    </xf>
    <xf numFmtId="0" fontId="2" fillId="0" borderId="8" xfId="5" applyBorder="1"/>
    <xf numFmtId="0" fontId="4" fillId="0" borderId="7" xfId="5" applyFont="1" applyBorder="1" applyAlignment="1">
      <alignment horizontal="center"/>
    </xf>
    <xf numFmtId="169" fontId="8" fillId="2" borderId="6" xfId="5" applyNumberFormat="1" applyFont="1" applyFill="1" applyBorder="1" applyAlignment="1">
      <alignment horizontal="center"/>
    </xf>
    <xf numFmtId="169" fontId="8" fillId="2" borderId="2" xfId="5" applyNumberFormat="1" applyFont="1" applyFill="1" applyBorder="1" applyAlignment="1">
      <alignment horizontal="center"/>
    </xf>
    <xf numFmtId="171" fontId="8" fillId="2" borderId="5" xfId="5" applyNumberFormat="1" applyFont="1" applyFill="1" applyBorder="1" applyAlignment="1">
      <alignment horizontal="center"/>
    </xf>
    <xf numFmtId="0" fontId="8" fillId="2" borderId="5" xfId="5" applyFont="1" applyFill="1" applyBorder="1" applyAlignment="1">
      <alignment horizontal="center"/>
    </xf>
    <xf numFmtId="0" fontId="8" fillId="2" borderId="5" xfId="5" applyFont="1" applyFill="1" applyBorder="1"/>
    <xf numFmtId="0" fontId="8" fillId="2" borderId="4" xfId="5" applyFont="1" applyFill="1" applyBorder="1" applyAlignment="1">
      <alignment horizontal="center"/>
    </xf>
    <xf numFmtId="164" fontId="0" fillId="16" borderId="8" xfId="3" applyNumberFormat="1" applyFont="1" applyFill="1" applyBorder="1" applyAlignment="1">
      <alignment horizontal="center"/>
    </xf>
    <xf numFmtId="164" fontId="0" fillId="13" borderId="8" xfId="3" applyNumberFormat="1" applyFont="1" applyFill="1" applyBorder="1" applyAlignment="1">
      <alignment horizontal="center"/>
    </xf>
    <xf numFmtId="164" fontId="8" fillId="12" borderId="8" xfId="3" applyNumberFormat="1" applyFont="1" applyFill="1" applyBorder="1" applyAlignment="1">
      <alignment horizontal="center"/>
    </xf>
    <xf numFmtId="164" fontId="8" fillId="17" borderId="8" xfId="3" applyNumberFormat="1" applyFont="1" applyFill="1" applyBorder="1" applyAlignment="1">
      <alignment horizontal="center"/>
    </xf>
    <xf numFmtId="1" fontId="4" fillId="15" borderId="8" xfId="0" applyNumberFormat="1" applyFont="1" applyFill="1" applyBorder="1" applyAlignment="1">
      <alignment horizontal="center"/>
    </xf>
    <xf numFmtId="42" fontId="8" fillId="2" borderId="12" xfId="3" applyFont="1" applyFill="1" applyBorder="1"/>
    <xf numFmtId="164" fontId="8" fillId="2" borderId="12" xfId="3" applyNumberFormat="1" applyFont="1" applyFill="1" applyBorder="1"/>
    <xf numFmtId="0" fontId="8" fillId="19" borderId="10" xfId="0" applyFont="1" applyFill="1" applyBorder="1" applyAlignment="1">
      <alignment vertical="center"/>
    </xf>
    <xf numFmtId="0" fontId="8" fillId="2" borderId="11" xfId="0" applyFont="1" applyFill="1" applyBorder="1" applyAlignment="1">
      <alignment horizontal="center"/>
    </xf>
    <xf numFmtId="164" fontId="8" fillId="2" borderId="11" xfId="3" applyNumberFormat="1" applyFont="1" applyFill="1" applyBorder="1"/>
    <xf numFmtId="180" fontId="6" fillId="5" borderId="6" xfId="5" applyNumberFormat="1" applyFont="1" applyFill="1" applyBorder="1"/>
    <xf numFmtId="180" fontId="16" fillId="5" borderId="12" xfId="0" applyNumberFormat="1" applyFont="1" applyFill="1" applyBorder="1"/>
    <xf numFmtId="42" fontId="16" fillId="5" borderId="12" xfId="3" applyFont="1" applyFill="1" applyBorder="1"/>
    <xf numFmtId="0" fontId="8" fillId="6" borderId="4" xfId="0" applyFont="1" applyFill="1" applyBorder="1" applyAlignment="1">
      <alignment horizontal="center"/>
    </xf>
    <xf numFmtId="0" fontId="20" fillId="0" borderId="0" xfId="0" applyFont="1" applyBorder="1"/>
    <xf numFmtId="0" fontId="20" fillId="0" borderId="31" xfId="0" applyFont="1" applyBorder="1"/>
    <xf numFmtId="0" fontId="4" fillId="0" borderId="0" xfId="0" applyFont="1" applyBorder="1" applyAlignment="1">
      <alignment horizontal="center"/>
    </xf>
    <xf numFmtId="0" fontId="21" fillId="0" borderId="0" xfId="0" applyFont="1" applyBorder="1"/>
    <xf numFmtId="0" fontId="20" fillId="0" borderId="32" xfId="0" applyFont="1" applyBorder="1"/>
    <xf numFmtId="0" fontId="10" fillId="20" borderId="7" xfId="0" applyFont="1" applyFill="1" applyBorder="1" applyAlignment="1">
      <alignment vertical="center"/>
    </xf>
    <xf numFmtId="0" fontId="8" fillId="20" borderId="8" xfId="0" applyFont="1" applyFill="1" applyBorder="1" applyAlignment="1">
      <alignment vertical="center"/>
    </xf>
    <xf numFmtId="0" fontId="10" fillId="20" borderId="8" xfId="0" applyFont="1" applyFill="1" applyBorder="1"/>
    <xf numFmtId="0" fontId="10" fillId="20" borderId="8" xfId="0" applyFont="1" applyFill="1" applyBorder="1" applyAlignment="1">
      <alignment horizontal="center"/>
    </xf>
    <xf numFmtId="164" fontId="10" fillId="20" borderId="8" xfId="3" applyNumberFormat="1" applyFont="1" applyFill="1" applyBorder="1"/>
    <xf numFmtId="164" fontId="8" fillId="20" borderId="9" xfId="3" applyNumberFormat="1" applyFont="1" applyFill="1" applyBorder="1"/>
    <xf numFmtId="0" fontId="8" fillId="0" borderId="0" xfId="0" applyFont="1" applyBorder="1" applyAlignment="1">
      <alignment horizontal="left"/>
    </xf>
    <xf numFmtId="0" fontId="4" fillId="15" borderId="4" xfId="0" applyFont="1" applyFill="1" applyBorder="1" applyAlignment="1">
      <alignment horizontal="left" indent="1"/>
    </xf>
    <xf numFmtId="0" fontId="4" fillId="15" borderId="7" xfId="0" applyFont="1" applyFill="1" applyBorder="1" applyAlignment="1">
      <alignment horizontal="left" indent="1"/>
    </xf>
    <xf numFmtId="0" fontId="4" fillId="15" borderId="10" xfId="0" applyFont="1" applyFill="1" applyBorder="1" applyAlignment="1">
      <alignment horizontal="left" indent="1"/>
    </xf>
    <xf numFmtId="0" fontId="4" fillId="15" borderId="38" xfId="0" applyFont="1" applyFill="1" applyBorder="1" applyAlignment="1">
      <alignment horizontal="left" indent="1"/>
    </xf>
    <xf numFmtId="0" fontId="8" fillId="15" borderId="10" xfId="0" applyFont="1" applyFill="1" applyBorder="1" applyAlignment="1">
      <alignment horizontal="left" indent="1"/>
    </xf>
    <xf numFmtId="0" fontId="8" fillId="0" borderId="0" xfId="0" applyFont="1" applyFill="1" applyBorder="1" applyAlignment="1"/>
    <xf numFmtId="1" fontId="0" fillId="15" borderId="22" xfId="0" applyNumberFormat="1" applyFill="1" applyBorder="1" applyAlignment="1">
      <alignment horizontal="center"/>
    </xf>
    <xf numFmtId="1" fontId="0" fillId="15" borderId="35" xfId="0" applyNumberFormat="1" applyFill="1" applyBorder="1" applyAlignment="1">
      <alignment horizontal="center"/>
    </xf>
    <xf numFmtId="0" fontId="4" fillId="15" borderId="7" xfId="0" applyFont="1" applyFill="1" applyBorder="1"/>
    <xf numFmtId="0" fontId="4" fillId="15" borderId="40" xfId="0" applyFont="1" applyFill="1" applyBorder="1"/>
    <xf numFmtId="1" fontId="0" fillId="15" borderId="39" xfId="0" applyNumberFormat="1" applyFill="1" applyBorder="1" applyAlignment="1">
      <alignment horizontal="center"/>
    </xf>
    <xf numFmtId="0" fontId="0" fillId="15" borderId="22" xfId="0" applyFill="1" applyBorder="1" applyAlignment="1">
      <alignment horizontal="center"/>
    </xf>
    <xf numFmtId="178" fontId="4" fillId="0" borderId="14" xfId="0" applyNumberFormat="1" applyFont="1" applyBorder="1" applyAlignment="1">
      <alignment horizontal="center"/>
    </xf>
    <xf numFmtId="0" fontId="4" fillId="15" borderId="10" xfId="0" applyFont="1" applyFill="1" applyBorder="1"/>
    <xf numFmtId="0" fontId="4" fillId="15" borderId="4" xfId="0" applyFont="1" applyFill="1" applyBorder="1" applyAlignment="1">
      <alignment horizontal="left" vertical="center" wrapText="1" indent="1"/>
    </xf>
    <xf numFmtId="0" fontId="4" fillId="15" borderId="7" xfId="0" applyFont="1" applyFill="1" applyBorder="1" applyAlignment="1">
      <alignment horizontal="left" vertical="center" wrapText="1" indent="1"/>
    </xf>
    <xf numFmtId="0" fontId="8" fillId="15" borderId="10" xfId="0" applyFont="1" applyFill="1" applyBorder="1" applyAlignment="1">
      <alignment horizontal="left" vertical="center" wrapText="1" indent="1"/>
    </xf>
    <xf numFmtId="0" fontId="0" fillId="5" borderId="0" xfId="0" applyFill="1" applyBorder="1"/>
    <xf numFmtId="0" fontId="17" fillId="5" borderId="0" xfId="0" applyFont="1" applyFill="1" applyBorder="1"/>
    <xf numFmtId="0" fontId="4" fillId="5" borderId="0" xfId="0" applyFont="1" applyFill="1" applyBorder="1"/>
    <xf numFmtId="180" fontId="16" fillId="5" borderId="0" xfId="0" applyNumberFormat="1" applyFont="1" applyFill="1" applyBorder="1"/>
    <xf numFmtId="174" fontId="8" fillId="5" borderId="9" xfId="0" applyNumberFormat="1" applyFont="1" applyFill="1" applyBorder="1"/>
    <xf numFmtId="174" fontId="8" fillId="5" borderId="9" xfId="5" applyNumberFormat="1" applyFont="1" applyFill="1" applyBorder="1"/>
    <xf numFmtId="0" fontId="2" fillId="5" borderId="0" xfId="5" applyFill="1" applyBorder="1"/>
    <xf numFmtId="0" fontId="17" fillId="5" borderId="0" xfId="5" applyFont="1" applyFill="1" applyBorder="1"/>
    <xf numFmtId="0" fontId="4" fillId="5" borderId="0" xfId="5" applyFont="1" applyFill="1" applyBorder="1"/>
    <xf numFmtId="42" fontId="16" fillId="5" borderId="0" xfId="3" applyFont="1" applyFill="1" applyBorder="1"/>
    <xf numFmtId="177" fontId="4" fillId="0" borderId="0" xfId="0" applyNumberFormat="1" applyFont="1"/>
    <xf numFmtId="168" fontId="0" fillId="0" borderId="0" xfId="1" applyFont="1"/>
    <xf numFmtId="168" fontId="0" fillId="0" borderId="0" xfId="0" applyNumberFormat="1"/>
    <xf numFmtId="9" fontId="4" fillId="0" borderId="8" xfId="4" applyFont="1" applyFill="1" applyBorder="1" applyAlignment="1">
      <alignment horizontal="center"/>
    </xf>
    <xf numFmtId="0" fontId="8" fillId="15" borderId="38" xfId="0" applyFont="1" applyFill="1" applyBorder="1" applyAlignment="1">
      <alignment horizontal="left" vertical="center" wrapText="1" indent="1"/>
    </xf>
    <xf numFmtId="0" fontId="0" fillId="5" borderId="38" xfId="0" applyFill="1" applyBorder="1"/>
    <xf numFmtId="166" fontId="4" fillId="5" borderId="15" xfId="0" applyNumberFormat="1" applyFont="1" applyFill="1" applyBorder="1"/>
    <xf numFmtId="0" fontId="4" fillId="5" borderId="15" xfId="0" applyFont="1" applyFill="1" applyBorder="1"/>
    <xf numFmtId="171" fontId="4" fillId="5" borderId="15" xfId="0" applyNumberFormat="1" applyFont="1" applyFill="1" applyBorder="1"/>
    <xf numFmtId="169" fontId="4" fillId="5" borderId="15" xfId="0" applyNumberFormat="1" applyFont="1" applyFill="1" applyBorder="1"/>
    <xf numFmtId="1" fontId="4" fillId="0" borderId="8" xfId="0" applyNumberFormat="1" applyFont="1" applyFill="1" applyBorder="1"/>
    <xf numFmtId="9" fontId="4" fillId="0" borderId="8" xfId="4" applyFont="1" applyBorder="1" applyAlignment="1">
      <alignment horizontal="center"/>
    </xf>
    <xf numFmtId="0" fontId="4" fillId="15" borderId="40" xfId="0" applyFont="1" applyFill="1" applyBorder="1" applyAlignment="1">
      <alignment vertical="center"/>
    </xf>
    <xf numFmtId="1" fontId="0" fillId="15" borderId="39" xfId="0" applyNumberFormat="1" applyFill="1" applyBorder="1" applyAlignment="1">
      <alignment horizontal="center" vertical="center"/>
    </xf>
    <xf numFmtId="170" fontId="4" fillId="15" borderId="14" xfId="0" applyNumberFormat="1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vertical="center"/>
    </xf>
    <xf numFmtId="1" fontId="0" fillId="15" borderId="22" xfId="0" applyNumberFormat="1" applyFill="1" applyBorder="1" applyAlignment="1">
      <alignment horizontal="center" vertical="center"/>
    </xf>
    <xf numFmtId="170" fontId="4" fillId="15" borderId="9" xfId="0" applyNumberFormat="1" applyFont="1" applyFill="1" applyBorder="1" applyAlignment="1">
      <alignment horizontal="center" vertical="center"/>
    </xf>
    <xf numFmtId="0" fontId="4" fillId="15" borderId="10" xfId="0" applyFont="1" applyFill="1" applyBorder="1" applyAlignment="1">
      <alignment vertical="center" wrapText="1"/>
    </xf>
    <xf numFmtId="1" fontId="0" fillId="15" borderId="35" xfId="0" applyNumberFormat="1" applyFill="1" applyBorder="1" applyAlignment="1">
      <alignment horizontal="center" vertical="center"/>
    </xf>
    <xf numFmtId="169" fontId="4" fillId="15" borderId="12" xfId="0" applyNumberFormat="1" applyFont="1" applyFill="1" applyBorder="1" applyAlignment="1">
      <alignment horizontal="center" vertical="center"/>
    </xf>
    <xf numFmtId="181" fontId="4" fillId="0" borderId="8" xfId="1" applyNumberFormat="1" applyFont="1" applyBorder="1" applyAlignment="1">
      <alignment horizontal="center"/>
    </xf>
    <xf numFmtId="9" fontId="4" fillId="4" borderId="44" xfId="0" applyNumberFormat="1" applyFont="1" applyFill="1" applyBorder="1" applyAlignment="1">
      <alignment horizontal="center" vertical="center"/>
    </xf>
    <xf numFmtId="164" fontId="4" fillId="0" borderId="8" xfId="3" applyNumberFormat="1" applyFont="1" applyFill="1" applyBorder="1" applyAlignment="1">
      <alignment horizontal="right"/>
    </xf>
    <xf numFmtId="182" fontId="0" fillId="0" borderId="8" xfId="8" applyNumberFormat="1" applyFont="1" applyBorder="1"/>
    <xf numFmtId="0" fontId="15" fillId="0" borderId="0" xfId="0" applyFont="1" applyBorder="1" applyAlignment="1">
      <alignment horizontal="center"/>
    </xf>
    <xf numFmtId="174" fontId="4" fillId="5" borderId="0" xfId="0" applyNumberFormat="1" applyFont="1" applyFill="1" applyBorder="1"/>
    <xf numFmtId="169" fontId="8" fillId="2" borderId="14" xfId="0" applyNumberFormat="1" applyFont="1" applyFill="1" applyBorder="1" applyAlignment="1">
      <alignment horizontal="center"/>
    </xf>
    <xf numFmtId="42" fontId="4" fillId="0" borderId="9" xfId="3" applyNumberFormat="1" applyFont="1" applyFill="1" applyBorder="1"/>
    <xf numFmtId="42" fontId="8" fillId="20" borderId="9" xfId="3" applyNumberFormat="1" applyFont="1" applyFill="1" applyBorder="1"/>
    <xf numFmtId="42" fontId="4" fillId="0" borderId="8" xfId="3" applyNumberFormat="1" applyFont="1" applyBorder="1" applyAlignment="1">
      <alignment horizontal="center" vertical="center"/>
    </xf>
    <xf numFmtId="42" fontId="4" fillId="0" borderId="8" xfId="3" applyNumberFormat="1" applyFont="1" applyBorder="1" applyAlignment="1">
      <alignment horizontal="right" vertical="center"/>
    </xf>
    <xf numFmtId="164" fontId="4" fillId="0" borderId="8" xfId="3" applyNumberFormat="1" applyFont="1" applyBorder="1" applyAlignment="1">
      <alignment horizontal="right" vertical="center"/>
    </xf>
    <xf numFmtId="42" fontId="0" fillId="0" borderId="8" xfId="0" applyNumberFormat="1" applyBorder="1" applyAlignment="1">
      <alignment horizontal="center" vertical="center"/>
    </xf>
    <xf numFmtId="43" fontId="0" fillId="0" borderId="8" xfId="8" applyFont="1" applyBorder="1" applyAlignment="1">
      <alignment horizontal="center" vertical="center"/>
    </xf>
    <xf numFmtId="183" fontId="4" fillId="0" borderId="0" xfId="0" applyNumberFormat="1" applyFont="1"/>
    <xf numFmtId="184" fontId="4" fillId="0" borderId="0" xfId="0" applyNumberFormat="1" applyFont="1"/>
    <xf numFmtId="9" fontId="4" fillId="4" borderId="8" xfId="4" applyFont="1" applyFill="1" applyBorder="1" applyAlignment="1">
      <alignment horizontal="center" vertical="center"/>
    </xf>
    <xf numFmtId="168" fontId="4" fillId="0" borderId="0" xfId="0" applyNumberFormat="1" applyFont="1"/>
    <xf numFmtId="49" fontId="4" fillId="0" borderId="0" xfId="0" applyNumberFormat="1" applyFont="1"/>
    <xf numFmtId="182" fontId="0" fillId="0" borderId="0" xfId="0" applyNumberFormat="1"/>
    <xf numFmtId="186" fontId="0" fillId="0" borderId="0" xfId="0" applyNumberFormat="1"/>
    <xf numFmtId="174" fontId="2" fillId="0" borderId="0" xfId="5" applyNumberFormat="1"/>
    <xf numFmtId="1" fontId="0" fillId="15" borderId="8" xfId="0" applyNumberFormat="1" applyFill="1" applyBorder="1" applyAlignment="1">
      <alignment horizontal="center"/>
    </xf>
    <xf numFmtId="0" fontId="8" fillId="17" borderId="8" xfId="0" applyFont="1" applyFill="1" applyBorder="1" applyAlignment="1">
      <alignment horizontal="right" vertical="center"/>
    </xf>
    <xf numFmtId="42" fontId="8" fillId="17" borderId="8" xfId="0" applyNumberFormat="1" applyFont="1" applyFill="1" applyBorder="1" applyAlignment="1">
      <alignment horizontal="center" vertical="center"/>
    </xf>
    <xf numFmtId="0" fontId="8" fillId="11" borderId="8" xfId="0" applyFont="1" applyFill="1" applyBorder="1" applyAlignment="1">
      <alignment horizontal="center" vertical="center"/>
    </xf>
    <xf numFmtId="0" fontId="4" fillId="11" borderId="8" xfId="0" applyFont="1" applyFill="1" applyBorder="1"/>
    <xf numFmtId="0" fontId="0" fillId="11" borderId="8" xfId="0" applyFill="1" applyBorder="1" applyAlignment="1">
      <alignment horizontal="center" vertical="center"/>
    </xf>
    <xf numFmtId="0" fontId="0" fillId="15" borderId="8" xfId="0" applyFill="1" applyBorder="1" applyAlignment="1">
      <alignment horizontal="center" vertical="center"/>
    </xf>
    <xf numFmtId="1" fontId="0" fillId="15" borderId="8" xfId="0" applyNumberFormat="1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42" fontId="0" fillId="16" borderId="13" xfId="0" applyNumberFormat="1" applyFill="1" applyBorder="1"/>
    <xf numFmtId="42" fontId="0" fillId="16" borderId="8" xfId="0" applyNumberFormat="1" applyFill="1" applyBorder="1"/>
    <xf numFmtId="1" fontId="0" fillId="16" borderId="8" xfId="0" applyNumberForma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right"/>
    </xf>
    <xf numFmtId="0" fontId="8" fillId="12" borderId="8" xfId="0" applyFont="1" applyFill="1" applyBorder="1"/>
    <xf numFmtId="42" fontId="8" fillId="12" borderId="8" xfId="0" applyNumberFormat="1" applyFont="1" applyFill="1" applyBorder="1" applyAlignment="1">
      <alignment horizontal="center" vertical="center"/>
    </xf>
    <xf numFmtId="0" fontId="8" fillId="22" borderId="8" xfId="0" applyFont="1" applyFill="1" applyBorder="1" applyAlignment="1">
      <alignment horizontal="right"/>
    </xf>
    <xf numFmtId="0" fontId="8" fillId="22" borderId="8" xfId="0" applyFont="1" applyFill="1" applyBorder="1"/>
    <xf numFmtId="42" fontId="8" fillId="22" borderId="8" xfId="0" applyNumberFormat="1" applyFont="1" applyFill="1" applyBorder="1"/>
    <xf numFmtId="42" fontId="8" fillId="22" borderId="8" xfId="0" applyNumberFormat="1" applyFont="1" applyFill="1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42" fontId="0" fillId="8" borderId="8" xfId="0" applyNumberFormat="1" applyFill="1" applyBorder="1"/>
    <xf numFmtId="0" fontId="8" fillId="7" borderId="8" xfId="0" applyFont="1" applyFill="1" applyBorder="1" applyAlignment="1">
      <alignment horizontal="center" vertical="center"/>
    </xf>
    <xf numFmtId="0" fontId="0" fillId="7" borderId="8" xfId="0" applyFill="1" applyBorder="1"/>
    <xf numFmtId="0" fontId="0" fillId="7" borderId="8" xfId="0" applyFill="1" applyBorder="1" applyAlignment="1">
      <alignment horizontal="center" vertical="center"/>
    </xf>
    <xf numFmtId="0" fontId="4" fillId="13" borderId="8" xfId="0" applyFont="1" applyFill="1" applyBorder="1" applyAlignment="1">
      <alignment horizontal="center" vertical="center"/>
    </xf>
    <xf numFmtId="42" fontId="0" fillId="13" borderId="8" xfId="0" applyNumberForma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0" fillId="10" borderId="8" xfId="0" applyFill="1" applyBorder="1"/>
    <xf numFmtId="0" fontId="0" fillId="10" borderId="8" xfId="0" applyFill="1" applyBorder="1" applyAlignment="1">
      <alignment horizontal="center" vertical="center"/>
    </xf>
    <xf numFmtId="0" fontId="4" fillId="25" borderId="8" xfId="0" applyFont="1" applyFill="1" applyBorder="1" applyAlignment="1">
      <alignment horizontal="center" vertical="center"/>
    </xf>
    <xf numFmtId="42" fontId="0" fillId="25" borderId="8" xfId="0" applyNumberFormat="1" applyFill="1" applyBorder="1"/>
    <xf numFmtId="42" fontId="8" fillId="21" borderId="0" xfId="0" applyNumberFormat="1" applyFont="1" applyFill="1"/>
    <xf numFmtId="0" fontId="8" fillId="26" borderId="8" xfId="0" applyFont="1" applyFill="1" applyBorder="1" applyAlignment="1">
      <alignment horizontal="center" vertical="center"/>
    </xf>
    <xf numFmtId="0" fontId="0" fillId="26" borderId="8" xfId="0" applyFill="1" applyBorder="1"/>
    <xf numFmtId="0" fontId="0" fillId="26" borderId="8" xfId="0" applyFill="1" applyBorder="1" applyAlignment="1">
      <alignment horizontal="center" vertical="center"/>
    </xf>
    <xf numFmtId="0" fontId="4" fillId="26" borderId="8" xfId="0" applyFont="1" applyFill="1" applyBorder="1"/>
    <xf numFmtId="0" fontId="8" fillId="23" borderId="8" xfId="0" applyFont="1" applyFill="1" applyBorder="1" applyAlignment="1">
      <alignment horizontal="center" vertical="center"/>
    </xf>
    <xf numFmtId="0" fontId="4" fillId="18" borderId="8" xfId="0" applyFont="1" applyFill="1" applyBorder="1"/>
    <xf numFmtId="0" fontId="4" fillId="18" borderId="8" xfId="0" applyFont="1" applyFill="1" applyBorder="1" applyAlignment="1">
      <alignment horizontal="center" vertical="center"/>
    </xf>
    <xf numFmtId="182" fontId="0" fillId="15" borderId="8" xfId="8" applyNumberFormat="1" applyFont="1" applyFill="1" applyBorder="1"/>
    <xf numFmtId="0" fontId="4" fillId="13" borderId="15" xfId="0" applyFont="1" applyFill="1" applyBorder="1"/>
    <xf numFmtId="0" fontId="4" fillId="13" borderId="31" xfId="0" applyFont="1" applyFill="1" applyBorder="1"/>
    <xf numFmtId="0" fontId="4" fillId="13" borderId="8" xfId="0" applyFont="1" applyFill="1" applyBorder="1" applyAlignment="1">
      <alignment horizontal="center"/>
    </xf>
    <xf numFmtId="42" fontId="0" fillId="3" borderId="8" xfId="0" applyNumberFormat="1" applyFill="1" applyBorder="1" applyAlignment="1">
      <alignment horizontal="center" vertical="center"/>
    </xf>
    <xf numFmtId="185" fontId="0" fillId="3" borderId="15" xfId="0" applyNumberFormat="1" applyFill="1" applyBorder="1" applyAlignment="1">
      <alignment horizontal="center" vertical="center"/>
    </xf>
    <xf numFmtId="42" fontId="0" fillId="3" borderId="15" xfId="0" applyNumberFormat="1" applyFill="1" applyBorder="1" applyAlignment="1">
      <alignment horizontal="center" vertical="center"/>
    </xf>
    <xf numFmtId="0" fontId="4" fillId="12" borderId="8" xfId="0" applyFont="1" applyFill="1" applyBorder="1" applyAlignment="1">
      <alignment horizontal="center" vertical="center"/>
    </xf>
    <xf numFmtId="0" fontId="8" fillId="12" borderId="13" xfId="0" applyFont="1" applyFill="1" applyBorder="1" applyAlignment="1">
      <alignment horizontal="center" vertical="center"/>
    </xf>
    <xf numFmtId="1" fontId="10" fillId="17" borderId="8" xfId="0" applyNumberFormat="1" applyFont="1" applyFill="1" applyBorder="1" applyAlignment="1">
      <alignment horizontal="center" vertical="center"/>
    </xf>
    <xf numFmtId="181" fontId="4" fillId="0" borderId="8" xfId="1" applyNumberFormat="1" applyFont="1" applyFill="1" applyBorder="1" applyAlignment="1">
      <alignment horizontal="center"/>
    </xf>
    <xf numFmtId="0" fontId="1" fillId="0" borderId="8" xfId="5" applyFont="1" applyBorder="1"/>
    <xf numFmtId="169" fontId="4" fillId="0" borderId="12" xfId="0" applyNumberFormat="1" applyFont="1" applyBorder="1" applyAlignment="1"/>
    <xf numFmtId="168" fontId="4" fillId="0" borderId="8" xfId="1" applyNumberFormat="1" applyFont="1" applyBorder="1" applyAlignment="1">
      <alignment horizontal="center"/>
    </xf>
    <xf numFmtId="0" fontId="0" fillId="27" borderId="0" xfId="0" applyFill="1"/>
    <xf numFmtId="0" fontId="4" fillId="15" borderId="7" xfId="0" applyFont="1" applyFill="1" applyBorder="1" applyAlignment="1">
      <alignment horizontal="left" indent="1"/>
    </xf>
    <xf numFmtId="42" fontId="10" fillId="2" borderId="0" xfId="3" applyFont="1" applyFill="1" applyBorder="1"/>
    <xf numFmtId="42" fontId="8" fillId="2" borderId="0" xfId="3" applyFont="1" applyFill="1" applyBorder="1"/>
    <xf numFmtId="14" fontId="0" fillId="0" borderId="0" xfId="0" applyNumberFormat="1"/>
    <xf numFmtId="49" fontId="17" fillId="15" borderId="8" xfId="1" applyNumberFormat="1" applyFont="1" applyFill="1" applyBorder="1" applyAlignment="1">
      <alignment horizontal="center" vertical="center"/>
    </xf>
    <xf numFmtId="49" fontId="17" fillId="15" borderId="9" xfId="1" applyNumberFormat="1" applyFont="1" applyFill="1" applyBorder="1" applyAlignment="1">
      <alignment horizontal="center" vertical="center"/>
    </xf>
    <xf numFmtId="1" fontId="17" fillId="15" borderId="11" xfId="1" applyNumberFormat="1" applyFont="1" applyFill="1" applyBorder="1" applyAlignment="1">
      <alignment horizontal="center" vertical="center"/>
    </xf>
    <xf numFmtId="1" fontId="17" fillId="15" borderId="12" xfId="1" applyNumberFormat="1" applyFont="1" applyFill="1" applyBorder="1" applyAlignment="1">
      <alignment horizontal="center" vertical="center"/>
    </xf>
    <xf numFmtId="0" fontId="8" fillId="6" borderId="23" xfId="0" applyFont="1" applyFill="1" applyBorder="1" applyAlignment="1">
      <alignment horizontal="center"/>
    </xf>
    <xf numFmtId="0" fontId="8" fillId="6" borderId="29" xfId="0" applyFont="1" applyFill="1" applyBorder="1" applyAlignment="1">
      <alignment horizontal="center"/>
    </xf>
    <xf numFmtId="0" fontId="8" fillId="6" borderId="24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4" fontId="17" fillId="15" borderId="5" xfId="1" applyNumberFormat="1" applyFont="1" applyFill="1" applyBorder="1" applyAlignment="1">
      <alignment horizontal="center" vertical="center"/>
    </xf>
    <xf numFmtId="14" fontId="17" fillId="15" borderId="6" xfId="1" applyNumberFormat="1" applyFont="1" applyFill="1" applyBorder="1" applyAlignment="1">
      <alignment horizontal="center" vertical="center"/>
    </xf>
    <xf numFmtId="0" fontId="8" fillId="18" borderId="1" xfId="0" applyFont="1" applyFill="1" applyBorder="1" applyAlignment="1">
      <alignment horizontal="center" vertical="center"/>
    </xf>
    <xf numFmtId="0" fontId="8" fillId="18" borderId="2" xfId="0" applyFont="1" applyFill="1" applyBorder="1" applyAlignment="1">
      <alignment horizontal="center" vertical="center"/>
    </xf>
    <xf numFmtId="0" fontId="8" fillId="18" borderId="3" xfId="0" applyFont="1" applyFill="1" applyBorder="1" applyAlignment="1">
      <alignment horizontal="center" vertical="center"/>
    </xf>
    <xf numFmtId="0" fontId="8" fillId="15" borderId="42" xfId="0" applyFont="1" applyFill="1" applyBorder="1" applyAlignment="1">
      <alignment horizontal="center" vertical="center" wrapText="1"/>
    </xf>
    <xf numFmtId="0" fontId="8" fillId="15" borderId="43" xfId="0" applyFont="1" applyFill="1" applyBorder="1" applyAlignment="1">
      <alignment horizontal="center" vertical="center" wrapText="1"/>
    </xf>
    <xf numFmtId="14" fontId="4" fillId="15" borderId="5" xfId="1" applyNumberFormat="1" applyFont="1" applyFill="1" applyBorder="1" applyAlignment="1">
      <alignment horizontal="center"/>
    </xf>
    <xf numFmtId="14" fontId="4" fillId="15" borderId="6" xfId="1" applyNumberFormat="1" applyFont="1" applyFill="1" applyBorder="1" applyAlignment="1">
      <alignment horizontal="center"/>
    </xf>
    <xf numFmtId="49" fontId="4" fillId="15" borderId="8" xfId="1" applyNumberFormat="1" applyFont="1" applyFill="1" applyBorder="1" applyAlignment="1">
      <alignment horizontal="center"/>
    </xf>
    <xf numFmtId="49" fontId="4" fillId="15" borderId="9" xfId="1" applyNumberFormat="1" applyFont="1" applyFill="1" applyBorder="1" applyAlignment="1">
      <alignment horizontal="center"/>
    </xf>
    <xf numFmtId="168" fontId="4" fillId="15" borderId="35" xfId="1" applyFont="1" applyFill="1" applyBorder="1" applyAlignment="1">
      <alignment horizontal="center" vertical="center"/>
    </xf>
    <xf numFmtId="168" fontId="4" fillId="15" borderId="36" xfId="1" applyFont="1" applyFill="1" applyBorder="1" applyAlignment="1">
      <alignment horizontal="center" vertical="center"/>
    </xf>
    <xf numFmtId="0" fontId="8" fillId="18" borderId="20" xfId="0" applyFont="1" applyFill="1" applyBorder="1" applyAlignment="1">
      <alignment horizontal="center"/>
    </xf>
    <xf numFmtId="0" fontId="8" fillId="18" borderId="17" xfId="0" applyFont="1" applyFill="1" applyBorder="1" applyAlignment="1">
      <alignment horizontal="center"/>
    </xf>
    <xf numFmtId="0" fontId="8" fillId="18" borderId="30" xfId="0" applyFont="1" applyFill="1" applyBorder="1" applyAlignment="1">
      <alignment horizontal="center"/>
    </xf>
    <xf numFmtId="1" fontId="17" fillId="15" borderId="35" xfId="1" applyNumberFormat="1" applyFont="1" applyFill="1" applyBorder="1" applyAlignment="1">
      <alignment horizontal="center"/>
    </xf>
    <xf numFmtId="1" fontId="17" fillId="15" borderId="36" xfId="1" applyNumberFormat="1" applyFont="1" applyFill="1" applyBorder="1" applyAlignment="1">
      <alignment horizontal="center"/>
    </xf>
    <xf numFmtId="0" fontId="2" fillId="0" borderId="1" xfId="5" applyBorder="1" applyAlignment="1">
      <alignment horizontal="center" vertical="center" wrapText="1"/>
    </xf>
    <xf numFmtId="0" fontId="2" fillId="0" borderId="2" xfId="5" applyBorder="1" applyAlignment="1">
      <alignment horizontal="center" vertical="center" wrapText="1"/>
    </xf>
    <xf numFmtId="0" fontId="2" fillId="0" borderId="3" xfId="5" applyBorder="1" applyAlignment="1">
      <alignment horizontal="center" vertical="center" wrapText="1"/>
    </xf>
    <xf numFmtId="0" fontId="2" fillId="0" borderId="16" xfId="5" applyBorder="1" applyAlignment="1">
      <alignment horizontal="center" vertical="center" wrapText="1"/>
    </xf>
    <xf numFmtId="0" fontId="2" fillId="0" borderId="19" xfId="5" applyBorder="1" applyAlignment="1">
      <alignment horizontal="center" vertical="center" wrapText="1"/>
    </xf>
    <xf numFmtId="0" fontId="2" fillId="0" borderId="18" xfId="5" applyBorder="1" applyAlignment="1">
      <alignment horizontal="center" vertical="center" wrapText="1"/>
    </xf>
    <xf numFmtId="0" fontId="8" fillId="18" borderId="21" xfId="0" applyFont="1" applyFill="1" applyBorder="1" applyAlignment="1">
      <alignment horizontal="center"/>
    </xf>
    <xf numFmtId="2" fontId="17" fillId="15" borderId="22" xfId="1" applyNumberFormat="1" applyFont="1" applyFill="1" applyBorder="1" applyAlignment="1">
      <alignment horizontal="center"/>
    </xf>
    <xf numFmtId="2" fontId="17" fillId="15" borderId="37" xfId="1" applyNumberFormat="1" applyFont="1" applyFill="1" applyBorder="1" applyAlignment="1">
      <alignment horizontal="center"/>
    </xf>
    <xf numFmtId="0" fontId="4" fillId="15" borderId="40" xfId="0" applyFont="1" applyFill="1" applyBorder="1" applyAlignment="1">
      <alignment horizontal="left" indent="1"/>
    </xf>
    <xf numFmtId="0" fontId="4" fillId="15" borderId="13" xfId="0" applyFont="1" applyFill="1" applyBorder="1" applyAlignment="1">
      <alignment horizontal="left" indent="1"/>
    </xf>
    <xf numFmtId="0" fontId="4" fillId="15" borderId="7" xfId="0" applyFont="1" applyFill="1" applyBorder="1" applyAlignment="1">
      <alignment horizontal="left" indent="1"/>
    </xf>
    <xf numFmtId="0" fontId="4" fillId="15" borderId="8" xfId="0" applyFont="1" applyFill="1" applyBorder="1" applyAlignment="1">
      <alignment horizontal="left" indent="1"/>
    </xf>
    <xf numFmtId="0" fontId="19" fillId="15" borderId="41" xfId="5" applyFont="1" applyFill="1" applyBorder="1" applyAlignment="1">
      <alignment horizontal="left" indent="1"/>
    </xf>
    <xf numFmtId="0" fontId="19" fillId="15" borderId="25" xfId="5" applyFont="1" applyFill="1" applyBorder="1" applyAlignment="1">
      <alignment horizontal="left" indent="1"/>
    </xf>
    <xf numFmtId="1" fontId="17" fillId="15" borderId="22" xfId="1" applyNumberFormat="1" applyFont="1" applyFill="1" applyBorder="1" applyAlignment="1">
      <alignment horizontal="center"/>
    </xf>
    <xf numFmtId="1" fontId="17" fillId="15" borderId="37" xfId="1" applyNumberFormat="1" applyFont="1" applyFill="1" applyBorder="1" applyAlignment="1">
      <alignment horizontal="center"/>
    </xf>
    <xf numFmtId="0" fontId="6" fillId="0" borderId="4" xfId="5" applyFont="1" applyBorder="1" applyAlignment="1">
      <alignment horizontal="left"/>
    </xf>
    <xf numFmtId="0" fontId="6" fillId="0" borderId="5" xfId="5" applyFont="1" applyBorder="1" applyAlignment="1">
      <alignment horizontal="left"/>
    </xf>
    <xf numFmtId="0" fontId="4" fillId="0" borderId="7" xfId="5" applyFont="1" applyBorder="1" applyAlignment="1">
      <alignment horizontal="left"/>
    </xf>
    <xf numFmtId="0" fontId="4" fillId="0" borderId="8" xfId="5" applyFont="1" applyBorder="1" applyAlignment="1">
      <alignment horizontal="left"/>
    </xf>
    <xf numFmtId="0" fontId="4" fillId="0" borderId="10" xfId="5" applyFont="1" applyBorder="1" applyAlignment="1">
      <alignment horizontal="left"/>
    </xf>
    <xf numFmtId="0" fontId="4" fillId="0" borderId="11" xfId="5" applyFont="1" applyBorder="1" applyAlignment="1">
      <alignment horizontal="left"/>
    </xf>
    <xf numFmtId="0" fontId="15" fillId="0" borderId="20" xfId="5" applyFont="1" applyBorder="1" applyAlignment="1">
      <alignment horizontal="center"/>
    </xf>
    <xf numFmtId="0" fontId="15" fillId="0" borderId="17" xfId="5" applyFont="1" applyBorder="1" applyAlignment="1">
      <alignment horizontal="center"/>
    </xf>
    <xf numFmtId="0" fontId="15" fillId="0" borderId="21" xfId="5" applyFont="1" applyBorder="1" applyAlignment="1">
      <alignment horizontal="center"/>
    </xf>
    <xf numFmtId="0" fontId="8" fillId="6" borderId="4" xfId="5" applyFont="1" applyFill="1" applyBorder="1" applyAlignment="1">
      <alignment horizontal="center"/>
    </xf>
    <xf numFmtId="0" fontId="8" fillId="6" borderId="5" xfId="5" applyFont="1" applyFill="1" applyBorder="1" applyAlignment="1">
      <alignment horizontal="center"/>
    </xf>
    <xf numFmtId="0" fontId="8" fillId="6" borderId="6" xfId="5" applyFont="1" applyFill="1" applyBorder="1" applyAlignment="1">
      <alignment horizontal="center"/>
    </xf>
    <xf numFmtId="0" fontId="19" fillId="15" borderId="7" xfId="5" applyFont="1" applyFill="1" applyBorder="1" applyAlignment="1">
      <alignment horizontal="left" indent="1"/>
    </xf>
    <xf numFmtId="0" fontId="19" fillId="15" borderId="8" xfId="5" applyFont="1" applyFill="1" applyBorder="1" applyAlignment="1">
      <alignment horizontal="left" indent="1"/>
    </xf>
    <xf numFmtId="0" fontId="19" fillId="15" borderId="10" xfId="5" applyFont="1" applyFill="1" applyBorder="1" applyAlignment="1">
      <alignment horizontal="left" indent="1"/>
    </xf>
    <xf numFmtId="0" fontId="19" fillId="15" borderId="11" xfId="5" applyFont="1" applyFill="1" applyBorder="1" applyAlignment="1">
      <alignment horizontal="left" indent="1"/>
    </xf>
    <xf numFmtId="2" fontId="17" fillId="15" borderId="33" xfId="1" applyNumberFormat="1" applyFont="1" applyFill="1" applyBorder="1" applyAlignment="1">
      <alignment horizontal="center"/>
    </xf>
    <xf numFmtId="2" fontId="17" fillId="15" borderId="24" xfId="1" applyNumberFormat="1" applyFont="1" applyFill="1" applyBorder="1" applyAlignment="1">
      <alignment horizontal="center"/>
    </xf>
    <xf numFmtId="0" fontId="8" fillId="18" borderId="26" xfId="0" applyFont="1" applyFill="1" applyBorder="1" applyAlignment="1">
      <alignment horizontal="center" vertical="center"/>
    </xf>
    <xf numFmtId="0" fontId="8" fillId="18" borderId="3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5" fillId="0" borderId="20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4" fillId="15" borderId="40" xfId="0" applyFont="1" applyFill="1" applyBorder="1" applyAlignment="1">
      <alignment horizontal="left" vertical="center"/>
    </xf>
    <xf numFmtId="0" fontId="4" fillId="15" borderId="13" xfId="0" applyFont="1" applyFill="1" applyBorder="1" applyAlignment="1">
      <alignment horizontal="left" vertical="center"/>
    </xf>
    <xf numFmtId="0" fontId="4" fillId="15" borderId="7" xfId="0" applyFont="1" applyFill="1" applyBorder="1" applyAlignment="1">
      <alignment horizontal="left" vertical="center"/>
    </xf>
    <xf numFmtId="0" fontId="4" fillId="15" borderId="8" xfId="0" applyFont="1" applyFill="1" applyBorder="1" applyAlignment="1">
      <alignment horizontal="left" vertical="center"/>
    </xf>
    <xf numFmtId="0" fontId="4" fillId="15" borderId="10" xfId="0" applyFont="1" applyFill="1" applyBorder="1" applyAlignment="1">
      <alignment horizontal="left" vertical="center"/>
    </xf>
    <xf numFmtId="0" fontId="4" fillId="15" borderId="11" xfId="0" applyFont="1" applyFill="1" applyBorder="1" applyAlignment="1">
      <alignment horizontal="left" vertical="center"/>
    </xf>
    <xf numFmtId="0" fontId="8" fillId="18" borderId="20" xfId="0" applyFont="1" applyFill="1" applyBorder="1" applyAlignment="1">
      <alignment horizontal="center" vertical="center"/>
    </xf>
    <xf numFmtId="0" fontId="8" fillId="18" borderId="17" xfId="0" applyFont="1" applyFill="1" applyBorder="1" applyAlignment="1">
      <alignment horizontal="center" vertical="center"/>
    </xf>
    <xf numFmtId="0" fontId="8" fillId="18" borderId="21" xfId="0" applyFont="1" applyFill="1" applyBorder="1" applyAlignment="1">
      <alignment horizontal="center" vertical="center"/>
    </xf>
    <xf numFmtId="49" fontId="4" fillId="15" borderId="35" xfId="1" applyNumberFormat="1" applyFont="1" applyFill="1" applyBorder="1" applyAlignment="1">
      <alignment horizontal="center"/>
    </xf>
    <xf numFmtId="49" fontId="4" fillId="15" borderId="36" xfId="1" applyNumberFormat="1" applyFont="1" applyFill="1" applyBorder="1" applyAlignment="1">
      <alignment horizontal="center"/>
    </xf>
    <xf numFmtId="0" fontId="8" fillId="18" borderId="30" xfId="0" applyFont="1" applyFill="1" applyBorder="1" applyAlignment="1">
      <alignment horizontal="center" vertical="center"/>
    </xf>
    <xf numFmtId="49" fontId="4" fillId="15" borderId="22" xfId="1" applyNumberFormat="1" applyFont="1" applyFill="1" applyBorder="1" applyAlignment="1">
      <alignment horizontal="center"/>
    </xf>
    <xf numFmtId="49" fontId="4" fillId="15" borderId="37" xfId="1" applyNumberFormat="1" applyFont="1" applyFill="1" applyBorder="1" applyAlignment="1">
      <alignment horizontal="center"/>
    </xf>
    <xf numFmtId="14" fontId="4" fillId="15" borderId="33" xfId="1" applyNumberFormat="1" applyFont="1" applyFill="1" applyBorder="1" applyAlignment="1">
      <alignment horizontal="center"/>
    </xf>
    <xf numFmtId="14" fontId="4" fillId="15" borderId="24" xfId="1" applyNumberFormat="1" applyFont="1" applyFill="1" applyBorder="1" applyAlignment="1">
      <alignment horizontal="center"/>
    </xf>
    <xf numFmtId="0" fontId="8" fillId="6" borderId="45" xfId="0" applyFont="1" applyFill="1" applyBorder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4" fillId="15" borderId="7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8" fillId="18" borderId="26" xfId="0" applyFont="1" applyFill="1" applyBorder="1" applyAlignment="1">
      <alignment horizontal="center"/>
    </xf>
    <xf numFmtId="0" fontId="8" fillId="18" borderId="27" xfId="0" applyFont="1" applyFill="1" applyBorder="1" applyAlignment="1">
      <alignment horizontal="center"/>
    </xf>
    <xf numFmtId="0" fontId="8" fillId="18" borderId="28" xfId="0" applyFont="1" applyFill="1" applyBorder="1" applyAlignment="1">
      <alignment horizontal="center"/>
    </xf>
    <xf numFmtId="0" fontId="8" fillId="18" borderId="34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18" borderId="46" xfId="0" applyFill="1" applyBorder="1" applyAlignment="1">
      <alignment horizontal="center" vertical="center" wrapText="1"/>
    </xf>
    <xf numFmtId="0" fontId="0" fillId="18" borderId="47" xfId="0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4" fillId="15" borderId="10" xfId="0" applyFont="1" applyFill="1" applyBorder="1" applyAlignment="1">
      <alignment horizontal="left"/>
    </xf>
    <xf numFmtId="0" fontId="4" fillId="15" borderId="11" xfId="0" applyFont="1" applyFill="1" applyBorder="1" applyAlignment="1">
      <alignment horizontal="left"/>
    </xf>
    <xf numFmtId="49" fontId="4" fillId="15" borderId="34" xfId="1" applyNumberFormat="1" applyFont="1" applyFill="1" applyBorder="1" applyAlignment="1">
      <alignment horizontal="center"/>
    </xf>
    <xf numFmtId="14" fontId="4" fillId="15" borderId="21" xfId="1" applyNumberFormat="1" applyFont="1" applyFill="1" applyBorder="1" applyAlignment="1">
      <alignment horizontal="center"/>
    </xf>
    <xf numFmtId="2" fontId="4" fillId="15" borderId="34" xfId="1" applyNumberFormat="1" applyFont="1" applyFill="1" applyBorder="1" applyAlignment="1">
      <alignment horizontal="center"/>
    </xf>
    <xf numFmtId="2" fontId="4" fillId="15" borderId="21" xfId="1" applyNumberFormat="1" applyFont="1" applyFill="1" applyBorder="1" applyAlignment="1">
      <alignment horizontal="center"/>
    </xf>
    <xf numFmtId="0" fontId="4" fillId="15" borderId="40" xfId="0" applyFont="1" applyFill="1" applyBorder="1" applyAlignment="1">
      <alignment horizontal="left"/>
    </xf>
    <xf numFmtId="0" fontId="4" fillId="15" borderId="13" xfId="0" applyFont="1" applyFill="1" applyBorder="1" applyAlignment="1">
      <alignment horizontal="left"/>
    </xf>
    <xf numFmtId="0" fontId="8" fillId="6" borderId="49" xfId="0" applyFont="1" applyFill="1" applyBorder="1" applyAlignment="1">
      <alignment horizontal="center"/>
    </xf>
    <xf numFmtId="0" fontId="8" fillId="6" borderId="50" xfId="0" applyFont="1" applyFill="1" applyBorder="1" applyAlignment="1">
      <alignment horizontal="center"/>
    </xf>
    <xf numFmtId="0" fontId="4" fillId="15" borderId="34" xfId="1" applyNumberFormat="1" applyFont="1" applyFill="1" applyBorder="1" applyAlignment="1">
      <alignment horizontal="center" wrapText="1"/>
    </xf>
    <xf numFmtId="0" fontId="4" fillId="15" borderId="21" xfId="1" applyNumberFormat="1" applyFont="1" applyFill="1" applyBorder="1" applyAlignment="1">
      <alignment horizontal="center" wrapText="1"/>
    </xf>
    <xf numFmtId="14" fontId="4" fillId="15" borderId="34" xfId="1" applyNumberFormat="1" applyFont="1" applyFill="1" applyBorder="1" applyAlignment="1">
      <alignment horizontal="center" wrapText="1"/>
    </xf>
    <xf numFmtId="14" fontId="4" fillId="15" borderId="21" xfId="1" applyNumberFormat="1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8" fillId="15" borderId="8" xfId="0" applyFont="1" applyFill="1" applyBorder="1" applyAlignment="1">
      <alignment horizontal="left" wrapText="1"/>
    </xf>
    <xf numFmtId="0" fontId="8" fillId="23" borderId="8" xfId="0" applyFont="1" applyFill="1" applyBorder="1" applyAlignment="1">
      <alignment horizontal="center" vertical="center"/>
    </xf>
    <xf numFmtId="0" fontId="8" fillId="24" borderId="22" xfId="0" applyFont="1" applyFill="1" applyBorder="1" applyAlignment="1">
      <alignment horizontal="center" vertical="center" wrapText="1"/>
    </xf>
    <xf numFmtId="0" fontId="8" fillId="24" borderId="48" xfId="0" applyFont="1" applyFill="1" applyBorder="1" applyAlignment="1">
      <alignment horizontal="center" vertical="center" wrapText="1"/>
    </xf>
    <xf numFmtId="0" fontId="8" fillId="24" borderId="25" xfId="0" applyFont="1" applyFill="1" applyBorder="1" applyAlignment="1">
      <alignment horizontal="center" vertical="center" wrapText="1"/>
    </xf>
    <xf numFmtId="0" fontId="4" fillId="11" borderId="15" xfId="0" applyFont="1" applyFill="1" applyBorder="1" applyAlignment="1">
      <alignment horizontal="center" vertical="center" wrapText="1"/>
    </xf>
    <xf numFmtId="0" fontId="4" fillId="11" borderId="13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left"/>
    </xf>
    <xf numFmtId="0" fontId="4" fillId="11" borderId="22" xfId="0" applyFont="1" applyFill="1" applyBorder="1" applyAlignment="1">
      <alignment horizontal="left" vertical="center"/>
    </xf>
    <xf numFmtId="0" fontId="4" fillId="11" borderId="25" xfId="0" applyFont="1" applyFill="1" applyBorder="1" applyAlignment="1">
      <alignment horizontal="left" vertical="center"/>
    </xf>
    <xf numFmtId="0" fontId="4" fillId="7" borderId="22" xfId="0" applyFont="1" applyFill="1" applyBorder="1" applyAlignment="1">
      <alignment horizontal="left"/>
    </xf>
    <xf numFmtId="0" fontId="4" fillId="7" borderId="25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0" fillId="12" borderId="8" xfId="0" applyFill="1" applyBorder="1" applyAlignment="1">
      <alignment horizontal="center" vertical="center" wrapText="1"/>
    </xf>
    <xf numFmtId="42" fontId="5" fillId="16" borderId="22" xfId="3" applyFont="1" applyFill="1" applyBorder="1" applyAlignment="1">
      <alignment horizontal="left"/>
    </xf>
    <xf numFmtId="42" fontId="5" fillId="16" borderId="25" xfId="3" applyFont="1" applyFill="1" applyBorder="1" applyAlignment="1">
      <alignment horizontal="left"/>
    </xf>
    <xf numFmtId="0" fontId="8" fillId="18" borderId="8" xfId="0" applyFont="1" applyFill="1" applyBorder="1" applyAlignment="1">
      <alignment horizontal="center"/>
    </xf>
    <xf numFmtId="0" fontId="8" fillId="14" borderId="8" xfId="0" applyFont="1" applyFill="1" applyBorder="1" applyAlignment="1">
      <alignment horizontal="center"/>
    </xf>
    <xf numFmtId="0" fontId="4" fillId="10" borderId="8" xfId="0" applyFont="1" applyFill="1" applyBorder="1" applyAlignment="1">
      <alignment vertical="center" wrapText="1"/>
    </xf>
    <xf numFmtId="42" fontId="8" fillId="12" borderId="8" xfId="3" applyFont="1" applyFill="1" applyBorder="1" applyAlignment="1">
      <alignment horizontal="left"/>
    </xf>
    <xf numFmtId="0" fontId="8" fillId="9" borderId="8" xfId="0" applyFont="1" applyFill="1" applyBorder="1" applyAlignment="1">
      <alignment horizontal="center"/>
    </xf>
    <xf numFmtId="0" fontId="4" fillId="10" borderId="8" xfId="0" applyFont="1" applyFill="1" applyBorder="1" applyAlignment="1">
      <alignment horizontal="center" vertical="center" wrapText="1"/>
    </xf>
    <xf numFmtId="0" fontId="4" fillId="18" borderId="8" xfId="0" applyFont="1" applyFill="1" applyBorder="1" applyAlignment="1">
      <alignment horizontal="center" vertical="center"/>
    </xf>
    <xf numFmtId="0" fontId="8" fillId="9" borderId="22" xfId="0" applyFont="1" applyFill="1" applyBorder="1" applyAlignment="1">
      <alignment horizontal="center"/>
    </xf>
    <xf numFmtId="0" fontId="8" fillId="9" borderId="48" xfId="0" applyFont="1" applyFill="1" applyBorder="1" applyAlignment="1">
      <alignment horizontal="center"/>
    </xf>
    <xf numFmtId="0" fontId="8" fillId="9" borderId="25" xfId="0" applyFont="1" applyFill="1" applyBorder="1" applyAlignment="1">
      <alignment horizontal="center"/>
    </xf>
  </cellXfs>
  <cellStyles count="9">
    <cellStyle name="Millares" xfId="8" builtinId="3"/>
    <cellStyle name="Millares [0]" xfId="1" builtinId="6"/>
    <cellStyle name="Moneda" xfId="2" builtinId="4"/>
    <cellStyle name="Moneda [0]" xfId="3" builtinId="7"/>
    <cellStyle name="Moneda [0] 2" xfId="7" xr:uid="{00000000-0005-0000-0000-000004000000}"/>
    <cellStyle name="Normal" xfId="0" builtinId="0"/>
    <cellStyle name="Normal 2" xfId="5" xr:uid="{00000000-0005-0000-0000-000006000000}"/>
    <cellStyle name="Porcentaje" xfId="4" builtinId="5"/>
    <cellStyle name="Porcentaje 2" xfId="6" xr:uid="{00000000-0005-0000-0000-000008000000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433551</xdr:colOff>
      <xdr:row>28</xdr:row>
      <xdr:rowOff>13138</xdr:rowOff>
    </xdr:from>
    <xdr:to>
      <xdr:col>17</xdr:col>
      <xdr:colOff>0</xdr:colOff>
      <xdr:row>30</xdr:row>
      <xdr:rowOff>91966</xdr:rowOff>
    </xdr:to>
    <xdr:cxnSp macro="">
      <xdr:nvCxnSpPr>
        <xdr:cNvPr id="3" name="Conector angula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4215241" y="4992414"/>
          <a:ext cx="453259" cy="407276"/>
        </a:xfrm>
        <a:prstGeom prst="bentConnector3">
          <a:avLst>
            <a:gd name="adj1" fmla="val 157247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19707</xdr:colOff>
      <xdr:row>28</xdr:row>
      <xdr:rowOff>45983</xdr:rowOff>
    </xdr:from>
    <xdr:to>
      <xdr:col>17</xdr:col>
      <xdr:colOff>578069</xdr:colOff>
      <xdr:row>33</xdr:row>
      <xdr:rowOff>85396</xdr:rowOff>
    </xdr:to>
    <xdr:cxnSp macro="">
      <xdr:nvCxnSpPr>
        <xdr:cNvPr id="11" name="Conector angula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5400000">
          <a:off x="14537121" y="5176345"/>
          <a:ext cx="860534" cy="558362"/>
        </a:xfrm>
        <a:prstGeom prst="bentConnector3">
          <a:avLst>
            <a:gd name="adj1" fmla="val 98855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uricio angel riveros" id="{71AD207C-398D-4D90-B0F2-D886A6F34BB0}" userId="76752812b0e919f8" providerId="Windows Live"/>
  <person displayName="Magda Liliana Murcia" id="{F64C1057-9D56-41D5-A20E-79753B97B9E0}" userId="S::lmurcia@fedepanela.onmicrosoft.com::61a5440b-2373-439b-aa3c-b5f84c18f3e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8" dT="2022-07-18T14:32:00.41" personId="{F64C1057-9D56-41D5-A20E-79753B97B9E0}" id="{C0636A39-90F9-46C6-8CF9-AFDE6D072F99}">
    <text>Incluye alimentación- Diario alimentación 12 mil Caldas Diario 18 mil alimentación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49" dT="2020-05-25T14:33:37.95" personId="{71AD207C-398D-4D90-B0F2-D886A6F34BB0}" id="{25178E2C-0CEA-461B-932C-91D44AC8E43F}">
    <text>litros</text>
  </threadedComment>
  <threadedComment ref="E50" dT="2020-05-25T14:33:51.81" personId="{71AD207C-398D-4D90-B0F2-D886A6F34BB0}" id="{E76F3187-76B6-4397-88DB-CB2FCD2E6F71}">
    <text>litros</text>
  </threadedComment>
  <threadedComment ref="E51" dT="2020-05-25T14:35:57.07" personId="{71AD207C-398D-4D90-B0F2-D886A6F34BB0}" id="{424303C0-721F-4706-82E4-C42BCDC44D28}">
    <text>pulgada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20" dT="2022-07-18T15:30:15.67" personId="{F64C1057-9D56-41D5-A20E-79753B97B9E0}" id="{9C255471-BDB8-4B33-AC03-339CBB0A111F}">
    <text>Deshoje, Limpia sencilla, arreglo cepa-Rendimiento de 800-900 kg de caña día/hombre</text>
  </threadedComment>
  <threadedComment ref="D21" dT="2022-07-18T15:32:50.80" personId="{F64C1057-9D56-41D5-A20E-79753B97B9E0}" id="{EB9E8415-12E4-4A18-A7A3-762F83728F05}">
    <text>Saca caña al camino para el cargue</text>
  </threadedComment>
  <threadedComment ref="D36" dT="2022-07-18T15:40:54.97" personId="{F64C1057-9D56-41D5-A20E-79753B97B9E0}" id="{421B1B87-19DF-4462-B8DB-36B85BE92589}">
    <text>Máximo dos mulas para 65 t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D21" dT="2020-05-25T14:56:21.50" personId="{71AD207C-398D-4D90-B0F2-D886A6F34BB0}" id="{EEE07121-4027-4A2B-BB39-18E00127E02A}">
    <text>Y A ESTA EN CAT</text>
  </threadedComment>
  <threadedComment ref="E62" dT="2020-05-25T15:15:51.53" personId="{71AD207C-398D-4D90-B0F2-D886A6F34BB0}" id="{131F9163-A335-4E3C-8D10-B552D9757019}">
    <text>cargas, kilos u otro</text>
  </threadedComment>
  <threadedComment ref="E63" dT="2020-05-25T15:18:10.04" personId="{71AD207C-398D-4D90-B0F2-D886A6F34BB0}" id="{04AC836C-2A6C-4C8F-94C7-1E808A514C99}">
    <text>jornales</text>
  </threadedComment>
  <threadedComment ref="D64" dT="2020-05-25T15:18:40.46" personId="{71AD207C-398D-4D90-B0F2-D886A6F34BB0}" id="{A6AB20CB-2F2C-4A22-B34C-4AF7C2B9BC1B}">
    <text>a que se refiere</text>
  </threadedComment>
  <threadedComment ref="D65" dT="2020-05-25T15:19:18.50" personId="{71AD207C-398D-4D90-B0F2-D886A6F34BB0}" id="{61DE155C-AFAA-4C71-A752-D5360D488C78}">
    <text>si paga alquiler no tiene este rubro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D19" dT="2022-07-18T15:55:57.51" personId="{F64C1057-9D56-41D5-A20E-79753B97B9E0}" id="{2B083866-C50C-4255-8828-BEBD9E794880}">
    <text>incluye alimentación de 15 mil diario</text>
  </threadedComment>
  <threadedComment ref="D21" dT="2020-05-25T15:27:26.66" personId="{71AD207C-398D-4D90-B0F2-D886A6F34BB0}" id="{7E6825D9-7B6A-4655-AA94-1ED34DB65A7D}">
    <text>ya esta en el cat</text>
  </threadedComment>
  <threadedComment ref="D85" dT="2022-07-18T16:05:34.20" personId="{F64C1057-9D56-41D5-A20E-79753B97B9E0}" id="{5E679BB8-8B54-4977-AEE2-DACB8BDD125A}">
    <text>Embala en presentación de 24 Kg en Bolsa de Papel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DL89"/>
  <sheetViews>
    <sheetView showGridLines="0" view="pageBreakPreview" topLeftCell="A2" zoomScaleNormal="75" zoomScaleSheetLayoutView="100" workbookViewId="0">
      <selection activeCell="D26" sqref="D26"/>
    </sheetView>
  </sheetViews>
  <sheetFormatPr baseColWidth="10" defaultColWidth="11.44140625" defaultRowHeight="13.2" x14ac:dyDescent="0.25"/>
  <cols>
    <col min="1" max="1" width="2.109375" style="4" customWidth="1"/>
    <col min="2" max="2" width="2.109375" style="5" customWidth="1"/>
    <col min="3" max="3" width="4.5546875" style="5" bestFit="1" customWidth="1"/>
    <col min="4" max="4" width="53.88671875" style="5" customWidth="1"/>
    <col min="5" max="5" width="17.5546875" style="5" bestFit="1" customWidth="1"/>
    <col min="6" max="6" width="14.88671875" style="5" customWidth="1"/>
    <col min="7" max="7" width="18.33203125" style="67" bestFit="1" customWidth="1"/>
    <col min="8" max="8" width="16.88671875" style="67" customWidth="1"/>
    <col min="9" max="9" width="2.88671875" style="5" customWidth="1"/>
    <col min="10" max="10" width="11.44140625" style="4"/>
    <col min="11" max="11" width="14.44140625" style="4" customWidth="1"/>
    <col min="12" max="13" width="11.44140625" style="4"/>
    <col min="14" max="14" width="15.109375" style="4" customWidth="1"/>
    <col min="15" max="16384" width="11.44140625" style="4"/>
  </cols>
  <sheetData>
    <row r="1" spans="1:116" ht="12.75" customHeight="1" thickBot="1" x14ac:dyDescent="0.3"/>
    <row r="2" spans="1:116" ht="12.75" customHeight="1" x14ac:dyDescent="0.25">
      <c r="B2" s="68"/>
      <c r="C2" s="294" t="s">
        <v>165</v>
      </c>
      <c r="D2" s="295"/>
      <c r="E2" s="295"/>
      <c r="F2" s="295"/>
      <c r="G2" s="295"/>
      <c r="H2" s="296"/>
      <c r="I2" s="68"/>
    </row>
    <row r="3" spans="1:116" ht="12.75" customHeight="1" thickBot="1" x14ac:dyDescent="0.3">
      <c r="C3" s="297" t="s">
        <v>166</v>
      </c>
      <c r="D3" s="298"/>
      <c r="E3" s="298"/>
      <c r="F3" s="298"/>
      <c r="G3" s="298"/>
      <c r="H3" s="299"/>
    </row>
    <row r="4" spans="1:116" ht="12.75" customHeight="1" thickBot="1" x14ac:dyDescent="0.3">
      <c r="C4" s="149"/>
      <c r="D4" s="149"/>
      <c r="E4" s="149"/>
      <c r="F4" s="149"/>
      <c r="G4" s="4"/>
      <c r="H4" s="4"/>
      <c r="I4" s="4"/>
    </row>
    <row r="5" spans="1:116" customFormat="1" ht="12.75" customHeight="1" thickBot="1" x14ac:dyDescent="0.35">
      <c r="A5" s="8"/>
      <c r="D5" s="302" t="s">
        <v>275</v>
      </c>
      <c r="E5" s="303"/>
      <c r="F5" s="304"/>
    </row>
    <row r="6" spans="1:116" s="148" customFormat="1" ht="12.75" customHeight="1" x14ac:dyDescent="0.25">
      <c r="B6" s="151"/>
      <c r="C6" s="149"/>
      <c r="D6" s="173" t="s">
        <v>263</v>
      </c>
      <c r="E6" s="300" t="s">
        <v>378</v>
      </c>
      <c r="F6" s="301"/>
      <c r="G6" s="4"/>
      <c r="H6" s="4"/>
      <c r="I6" s="4"/>
      <c r="J6" s="4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</row>
    <row r="7" spans="1:116" s="148" customFormat="1" ht="12.75" customHeight="1" x14ac:dyDescent="0.25">
      <c r="B7" s="151"/>
      <c r="C7" s="149"/>
      <c r="D7" s="174" t="s">
        <v>264</v>
      </c>
      <c r="E7" s="287" t="s">
        <v>338</v>
      </c>
      <c r="F7" s="288"/>
      <c r="G7" s="4"/>
      <c r="H7" s="4"/>
      <c r="I7" s="4"/>
      <c r="J7" s="4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</row>
    <row r="8" spans="1:116" s="148" customFormat="1" ht="12.75" customHeight="1" thickBot="1" x14ac:dyDescent="0.3">
      <c r="B8" s="151"/>
      <c r="C8" s="149"/>
      <c r="D8" s="174" t="s">
        <v>265</v>
      </c>
      <c r="E8" s="287" t="s">
        <v>381</v>
      </c>
      <c r="F8" s="288"/>
      <c r="G8" s="4"/>
      <c r="H8" s="4"/>
      <c r="I8" s="4"/>
      <c r="J8" s="4"/>
      <c r="K8" s="147" t="s">
        <v>262</v>
      </c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</row>
    <row r="9" spans="1:116" s="148" customFormat="1" ht="12.75" customHeight="1" x14ac:dyDescent="0.25">
      <c r="B9" s="151"/>
      <c r="C9" s="149"/>
      <c r="D9" s="174" t="s">
        <v>266</v>
      </c>
      <c r="E9" s="287" t="s">
        <v>380</v>
      </c>
      <c r="F9" s="288"/>
      <c r="G9" s="4"/>
      <c r="H9" s="305" t="s">
        <v>1</v>
      </c>
      <c r="I9" s="4"/>
      <c r="J9" s="4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</row>
    <row r="10" spans="1:116" s="148" customFormat="1" ht="12.75" customHeight="1" x14ac:dyDescent="0.25">
      <c r="B10" s="151"/>
      <c r="C10" s="149"/>
      <c r="D10" s="174" t="s">
        <v>267</v>
      </c>
      <c r="E10" s="287"/>
      <c r="F10" s="288"/>
      <c r="G10" s="4"/>
      <c r="H10" s="306"/>
      <c r="I10" s="4"/>
      <c r="J10" s="4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</row>
    <row r="11" spans="1:116" s="148" customFormat="1" ht="12.75" customHeight="1" x14ac:dyDescent="0.25">
      <c r="A11" s="150"/>
      <c r="B11"/>
      <c r="C11"/>
      <c r="D11" s="174" t="s">
        <v>276</v>
      </c>
      <c r="E11" s="287"/>
      <c r="F11" s="288"/>
      <c r="G11" s="4"/>
      <c r="H11" s="306"/>
      <c r="I11" s="4"/>
      <c r="J11" s="4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</row>
    <row r="12" spans="1:116" s="148" customFormat="1" ht="12.75" customHeight="1" x14ac:dyDescent="0.25">
      <c r="B12" s="151"/>
      <c r="C12" s="149"/>
      <c r="D12" s="174" t="s">
        <v>268</v>
      </c>
      <c r="E12" s="287" t="s">
        <v>379</v>
      </c>
      <c r="F12" s="288"/>
      <c r="G12" s="4"/>
      <c r="H12" s="306"/>
      <c r="I12" s="4"/>
      <c r="J12" s="4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</row>
    <row r="13" spans="1:116" s="148" customFormat="1" ht="12.75" customHeight="1" thickBot="1" x14ac:dyDescent="0.3">
      <c r="A13" s="147"/>
      <c r="B13" s="147"/>
      <c r="C13" s="149"/>
      <c r="D13" s="190" t="s">
        <v>288</v>
      </c>
      <c r="E13" s="287" t="s">
        <v>382</v>
      </c>
      <c r="F13" s="288"/>
      <c r="G13" s="4"/>
      <c r="H13" s="208">
        <v>0.05</v>
      </c>
      <c r="I13" s="4"/>
      <c r="J13" s="4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</row>
    <row r="14" spans="1:116" s="148" customFormat="1" ht="12.75" customHeight="1" thickBot="1" x14ac:dyDescent="0.3">
      <c r="A14" s="147"/>
      <c r="B14" s="147"/>
      <c r="C14" s="149"/>
      <c r="D14" s="175" t="s">
        <v>272</v>
      </c>
      <c r="E14" s="289">
        <v>85</v>
      </c>
      <c r="F14" s="290"/>
      <c r="G14" s="4"/>
      <c r="H14" s="4"/>
      <c r="I14" s="4"/>
      <c r="J14" s="4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</row>
    <row r="15" spans="1:116" ht="12.75" customHeight="1" thickBot="1" x14ac:dyDescent="0.3">
      <c r="D15" s="69"/>
      <c r="E15" s="69"/>
      <c r="F15" s="147"/>
      <c r="G15" s="147"/>
      <c r="H15" s="71"/>
    </row>
    <row r="16" spans="1:116" ht="12.75" customHeight="1" x14ac:dyDescent="0.25">
      <c r="C16" s="59">
        <v>1</v>
      </c>
      <c r="D16" s="63" t="s">
        <v>169</v>
      </c>
      <c r="E16" s="64" t="s">
        <v>3</v>
      </c>
      <c r="F16" s="65" t="s">
        <v>4</v>
      </c>
      <c r="G16" s="28" t="s">
        <v>199</v>
      </c>
      <c r="H16" s="66" t="s">
        <v>200</v>
      </c>
    </row>
    <row r="17" spans="3:10" ht="12.75" customHeight="1" x14ac:dyDescent="0.25">
      <c r="C17" s="81" t="s">
        <v>13</v>
      </c>
      <c r="D17" s="76" t="s">
        <v>158</v>
      </c>
      <c r="E17" s="30" t="s">
        <v>12</v>
      </c>
      <c r="F17" s="207"/>
      <c r="G17" s="77"/>
      <c r="H17" s="79">
        <f>F17*G17</f>
        <v>0</v>
      </c>
    </row>
    <row r="18" spans="3:10" ht="12.75" customHeight="1" x14ac:dyDescent="0.25">
      <c r="C18" s="81" t="s">
        <v>14</v>
      </c>
      <c r="D18" s="76" t="s">
        <v>159</v>
      </c>
      <c r="E18" s="30" t="s">
        <v>12</v>
      </c>
      <c r="F18" s="207">
        <v>4</v>
      </c>
      <c r="G18" s="77">
        <v>80000</v>
      </c>
      <c r="H18" s="79">
        <f t="shared" ref="H18:H27" si="0">F18*G18</f>
        <v>320000</v>
      </c>
    </row>
    <row r="19" spans="3:10" ht="12.75" customHeight="1" x14ac:dyDescent="0.25">
      <c r="C19" s="81" t="s">
        <v>16</v>
      </c>
      <c r="D19" s="76" t="s">
        <v>339</v>
      </c>
      <c r="E19" s="30" t="s">
        <v>12</v>
      </c>
      <c r="F19" s="207">
        <v>35</v>
      </c>
      <c r="G19" s="77">
        <v>80000</v>
      </c>
      <c r="H19" s="79">
        <f t="shared" si="0"/>
        <v>2800000</v>
      </c>
    </row>
    <row r="20" spans="3:10" ht="12.75" customHeight="1" x14ac:dyDescent="0.25">
      <c r="C20" s="81" t="s">
        <v>17</v>
      </c>
      <c r="D20" s="76" t="s">
        <v>167</v>
      </c>
      <c r="E20" s="30" t="s">
        <v>12</v>
      </c>
      <c r="F20" s="207">
        <v>5</v>
      </c>
      <c r="G20" s="77">
        <v>80000</v>
      </c>
      <c r="H20" s="79">
        <f t="shared" si="0"/>
        <v>400000</v>
      </c>
      <c r="J20" s="4" t="s">
        <v>385</v>
      </c>
    </row>
    <row r="21" spans="3:10" ht="12.75" customHeight="1" x14ac:dyDescent="0.25">
      <c r="C21" s="81" t="s">
        <v>19</v>
      </c>
      <c r="D21" s="76" t="s">
        <v>340</v>
      </c>
      <c r="E21" s="30" t="s">
        <v>12</v>
      </c>
      <c r="F21" s="207">
        <v>2</v>
      </c>
      <c r="G21" s="77">
        <v>80000</v>
      </c>
      <c r="H21" s="79">
        <f t="shared" si="0"/>
        <v>160000</v>
      </c>
    </row>
    <row r="22" spans="3:10" ht="12.75" customHeight="1" x14ac:dyDescent="0.25">
      <c r="C22" s="81" t="s">
        <v>20</v>
      </c>
      <c r="D22" s="76" t="s">
        <v>341</v>
      </c>
      <c r="E22" s="30" t="s">
        <v>12</v>
      </c>
      <c r="F22" s="207">
        <v>25</v>
      </c>
      <c r="G22" s="77">
        <v>80000</v>
      </c>
      <c r="H22" s="79">
        <f t="shared" si="0"/>
        <v>2000000</v>
      </c>
    </row>
    <row r="23" spans="3:10" ht="12.75" customHeight="1" x14ac:dyDescent="0.25">
      <c r="C23" s="81" t="s">
        <v>21</v>
      </c>
      <c r="D23" s="76" t="s">
        <v>298</v>
      </c>
      <c r="E23" s="30" t="s">
        <v>12</v>
      </c>
      <c r="F23" s="207">
        <v>3</v>
      </c>
      <c r="G23" s="77">
        <v>80000</v>
      </c>
      <c r="H23" s="79">
        <f t="shared" si="0"/>
        <v>240000</v>
      </c>
      <c r="J23" s="4" t="s">
        <v>386</v>
      </c>
    </row>
    <row r="24" spans="3:10" ht="12.75" customHeight="1" x14ac:dyDescent="0.25">
      <c r="C24" s="81" t="s">
        <v>72</v>
      </c>
      <c r="D24" s="76" t="s">
        <v>160</v>
      </c>
      <c r="E24" s="30" t="s">
        <v>12</v>
      </c>
      <c r="F24" s="207">
        <v>3</v>
      </c>
      <c r="G24" s="77">
        <v>80000</v>
      </c>
      <c r="H24" s="79">
        <f t="shared" si="0"/>
        <v>240000</v>
      </c>
    </row>
    <row r="25" spans="3:10" ht="12.75" customHeight="1" x14ac:dyDescent="0.25">
      <c r="C25" s="81" t="s">
        <v>52</v>
      </c>
      <c r="D25" s="76" t="s">
        <v>343</v>
      </c>
      <c r="E25" s="30" t="s">
        <v>12</v>
      </c>
      <c r="F25" s="207">
        <v>15</v>
      </c>
      <c r="G25" s="77">
        <v>80000</v>
      </c>
      <c r="H25" s="79">
        <f t="shared" si="0"/>
        <v>1200000</v>
      </c>
      <c r="J25" s="4" t="s">
        <v>387</v>
      </c>
    </row>
    <row r="26" spans="3:10" ht="12.75" customHeight="1" x14ac:dyDescent="0.25">
      <c r="C26" s="81" t="s">
        <v>53</v>
      </c>
      <c r="D26" s="76" t="s">
        <v>168</v>
      </c>
      <c r="E26" s="30" t="s">
        <v>5</v>
      </c>
      <c r="F26" s="207">
        <v>1</v>
      </c>
      <c r="G26" s="77">
        <v>385000</v>
      </c>
      <c r="H26" s="79">
        <f t="shared" si="0"/>
        <v>385000</v>
      </c>
    </row>
    <row r="27" spans="3:10" ht="12.75" customHeight="1" x14ac:dyDescent="0.25">
      <c r="C27" s="81"/>
      <c r="D27" s="76"/>
      <c r="E27" s="30"/>
      <c r="F27" s="207"/>
      <c r="G27" s="77"/>
      <c r="H27" s="79">
        <f t="shared" si="0"/>
        <v>0</v>
      </c>
    </row>
    <row r="28" spans="3:10" ht="12.75" customHeight="1" x14ac:dyDescent="0.25">
      <c r="C28" s="81"/>
      <c r="D28" s="76"/>
      <c r="E28" s="30"/>
      <c r="F28" s="207"/>
      <c r="G28" s="77"/>
      <c r="H28" s="79">
        <f t="shared" ref="H28" si="1">F28*G28</f>
        <v>0</v>
      </c>
    </row>
    <row r="29" spans="3:10" ht="12.75" customHeight="1" x14ac:dyDescent="0.25">
      <c r="C29" s="152"/>
      <c r="D29" s="153" t="s">
        <v>161</v>
      </c>
      <c r="E29" s="154"/>
      <c r="F29" s="155"/>
      <c r="G29" s="156"/>
      <c r="H29" s="157">
        <f>SUM(H17:H28)</f>
        <v>7745000</v>
      </c>
    </row>
    <row r="30" spans="3:10" ht="12.75" customHeight="1" x14ac:dyDescent="0.25">
      <c r="C30" s="78"/>
      <c r="D30" s="76" t="s">
        <v>1</v>
      </c>
      <c r="E30" s="30" t="s">
        <v>5</v>
      </c>
      <c r="F30" s="17">
        <f>H13</f>
        <v>0.05</v>
      </c>
      <c r="G30" s="40">
        <f>H29</f>
        <v>7745000</v>
      </c>
      <c r="H30" s="18">
        <f>G30*F30</f>
        <v>387250</v>
      </c>
    </row>
    <row r="31" spans="3:10" ht="12.75" customHeight="1" x14ac:dyDescent="0.25">
      <c r="C31" s="152"/>
      <c r="D31" s="153" t="s">
        <v>162</v>
      </c>
      <c r="E31" s="154"/>
      <c r="F31" s="155"/>
      <c r="G31" s="156"/>
      <c r="H31" s="157">
        <f>H30</f>
        <v>387250</v>
      </c>
    </row>
    <row r="32" spans="3:10" ht="13.8" thickBot="1" x14ac:dyDescent="0.3">
      <c r="C32" s="80"/>
      <c r="D32" s="99" t="s">
        <v>249</v>
      </c>
      <c r="E32" s="41"/>
      <c r="F32" s="42"/>
      <c r="G32" s="82"/>
      <c r="H32" s="139">
        <f>H31+H29</f>
        <v>8132250</v>
      </c>
    </row>
    <row r="33" spans="3:12" ht="12.75" customHeight="1" thickBot="1" x14ac:dyDescent="0.3">
      <c r="G33" s="5"/>
      <c r="H33" s="5"/>
    </row>
    <row r="34" spans="3:12" ht="12.75" customHeight="1" x14ac:dyDescent="0.25">
      <c r="C34" s="59">
        <v>2</v>
      </c>
      <c r="D34" s="63" t="s">
        <v>173</v>
      </c>
      <c r="E34" s="64" t="s">
        <v>3</v>
      </c>
      <c r="F34" s="65" t="s">
        <v>4</v>
      </c>
      <c r="G34" s="28" t="s">
        <v>199</v>
      </c>
      <c r="H34" s="66" t="s">
        <v>200</v>
      </c>
    </row>
    <row r="35" spans="3:12" ht="12.75" customHeight="1" x14ac:dyDescent="0.25">
      <c r="C35" s="81" t="s">
        <v>56</v>
      </c>
      <c r="D35" s="76" t="s">
        <v>174</v>
      </c>
      <c r="E35" s="30" t="s">
        <v>74</v>
      </c>
      <c r="F35" s="207">
        <v>8500</v>
      </c>
      <c r="G35" s="77">
        <v>600</v>
      </c>
      <c r="H35" s="79">
        <f t="shared" ref="H35:H40" si="2">F35*G35</f>
        <v>5100000</v>
      </c>
    </row>
    <row r="36" spans="3:12" ht="12.75" customHeight="1" x14ac:dyDescent="0.25">
      <c r="C36" s="81" t="s">
        <v>57</v>
      </c>
      <c r="D36" s="76" t="s">
        <v>163</v>
      </c>
      <c r="E36" s="30" t="s">
        <v>5</v>
      </c>
      <c r="F36" s="207">
        <v>1</v>
      </c>
      <c r="G36" s="77">
        <v>28000</v>
      </c>
      <c r="H36" s="79">
        <f t="shared" si="2"/>
        <v>28000</v>
      </c>
    </row>
    <row r="37" spans="3:12" ht="12.75" customHeight="1" x14ac:dyDescent="0.25">
      <c r="C37" s="81" t="s">
        <v>27</v>
      </c>
      <c r="D37" s="76" t="s">
        <v>344</v>
      </c>
      <c r="E37" s="30" t="s">
        <v>74</v>
      </c>
      <c r="F37" s="207">
        <v>350</v>
      </c>
      <c r="G37" s="77">
        <v>2560</v>
      </c>
      <c r="H37" s="79">
        <f t="shared" si="2"/>
        <v>896000</v>
      </c>
      <c r="J37" s="4" t="s">
        <v>388</v>
      </c>
    </row>
    <row r="38" spans="3:12" ht="12.75" customHeight="1" x14ac:dyDescent="0.25">
      <c r="C38" s="81" t="s">
        <v>58</v>
      </c>
      <c r="D38" s="76" t="s">
        <v>345</v>
      </c>
      <c r="E38" s="30" t="s">
        <v>74</v>
      </c>
      <c r="F38" s="207">
        <v>2000</v>
      </c>
      <c r="G38" s="77">
        <v>350</v>
      </c>
      <c r="H38" s="79">
        <f t="shared" si="2"/>
        <v>700000</v>
      </c>
    </row>
    <row r="39" spans="3:12" ht="12.75" customHeight="1" x14ac:dyDescent="0.25">
      <c r="C39" s="81" t="s">
        <v>59</v>
      </c>
      <c r="D39" s="76" t="s">
        <v>377</v>
      </c>
      <c r="E39" s="30" t="s">
        <v>74</v>
      </c>
      <c r="F39" s="207">
        <v>150</v>
      </c>
      <c r="G39" s="77">
        <v>8000</v>
      </c>
      <c r="H39" s="79">
        <f t="shared" si="2"/>
        <v>1200000</v>
      </c>
    </row>
    <row r="40" spans="3:12" ht="12.75" customHeight="1" x14ac:dyDescent="0.25">
      <c r="C40" s="81" t="s">
        <v>60</v>
      </c>
      <c r="D40" s="76" t="s">
        <v>346</v>
      </c>
      <c r="E40" s="30" t="s">
        <v>74</v>
      </c>
      <c r="F40" s="207">
        <v>50</v>
      </c>
      <c r="G40" s="77">
        <v>3600</v>
      </c>
      <c r="H40" s="79">
        <f t="shared" si="2"/>
        <v>180000</v>
      </c>
    </row>
    <row r="41" spans="3:12" ht="12.75" customHeight="1" x14ac:dyDescent="0.25">
      <c r="C41" s="81" t="s">
        <v>104</v>
      </c>
      <c r="D41" s="76" t="s">
        <v>347</v>
      </c>
      <c r="E41" s="30" t="s">
        <v>5</v>
      </c>
      <c r="F41" s="278">
        <v>1</v>
      </c>
      <c r="G41" s="209">
        <v>180000</v>
      </c>
      <c r="H41" s="79">
        <f>F41*G41</f>
        <v>180000</v>
      </c>
      <c r="J41" s="4" t="s">
        <v>389</v>
      </c>
      <c r="L41" s="4" t="s">
        <v>390</v>
      </c>
    </row>
    <row r="42" spans="3:12" ht="12.75" customHeight="1" x14ac:dyDescent="0.25">
      <c r="C42" s="81" t="s">
        <v>105</v>
      </c>
      <c r="D42" s="76" t="s">
        <v>164</v>
      </c>
      <c r="E42" s="30" t="s">
        <v>5</v>
      </c>
      <c r="F42" s="207">
        <v>1</v>
      </c>
      <c r="G42" s="77">
        <v>210000</v>
      </c>
      <c r="H42" s="79">
        <f>F42*G42</f>
        <v>210000</v>
      </c>
    </row>
    <row r="43" spans="3:12" ht="12.75" customHeight="1" x14ac:dyDescent="0.25">
      <c r="C43" s="81" t="s">
        <v>106</v>
      </c>
      <c r="D43" s="76"/>
      <c r="E43" s="30"/>
      <c r="F43" s="207"/>
      <c r="G43" s="77"/>
      <c r="H43" s="79">
        <f t="shared" ref="H43:H45" si="3">F43*G43</f>
        <v>0</v>
      </c>
    </row>
    <row r="44" spans="3:12" ht="12.75" customHeight="1" x14ac:dyDescent="0.25">
      <c r="C44" s="81" t="s">
        <v>119</v>
      </c>
      <c r="D44" s="76"/>
      <c r="E44" s="30"/>
      <c r="F44" s="207"/>
      <c r="G44" s="77"/>
      <c r="H44" s="79">
        <f t="shared" si="3"/>
        <v>0</v>
      </c>
    </row>
    <row r="45" spans="3:12" ht="12.75" customHeight="1" x14ac:dyDescent="0.25">
      <c r="C45" s="81" t="s">
        <v>120</v>
      </c>
      <c r="D45" s="76"/>
      <c r="E45" s="30"/>
      <c r="F45" s="207"/>
      <c r="G45" s="77"/>
      <c r="H45" s="79">
        <f t="shared" si="3"/>
        <v>0</v>
      </c>
    </row>
    <row r="46" spans="3:12" ht="12.75" customHeight="1" x14ac:dyDescent="0.25">
      <c r="C46" s="81" t="s">
        <v>121</v>
      </c>
      <c r="D46" s="76"/>
      <c r="E46" s="30"/>
      <c r="F46" s="207"/>
      <c r="G46" s="77"/>
      <c r="H46" s="79">
        <f>F46*G46</f>
        <v>0</v>
      </c>
    </row>
    <row r="47" spans="3:12" ht="12.75" customHeight="1" x14ac:dyDescent="0.25">
      <c r="C47" s="81" t="s">
        <v>170</v>
      </c>
      <c r="D47" s="76"/>
      <c r="E47" s="30"/>
      <c r="F47" s="207"/>
      <c r="G47" s="77"/>
      <c r="H47" s="79">
        <f>F47*G47</f>
        <v>0</v>
      </c>
    </row>
    <row r="48" spans="3:12" ht="12.75" customHeight="1" x14ac:dyDescent="0.25">
      <c r="C48" s="81" t="s">
        <v>171</v>
      </c>
      <c r="D48" s="76"/>
      <c r="E48" s="30"/>
      <c r="F48" s="207"/>
      <c r="G48" s="77"/>
      <c r="H48" s="79">
        <f t="shared" ref="H48:H50" si="4">F48*G48</f>
        <v>0</v>
      </c>
    </row>
    <row r="49" spans="3:10" ht="12.75" customHeight="1" x14ac:dyDescent="0.25">
      <c r="C49" s="81" t="s">
        <v>172</v>
      </c>
      <c r="D49" s="76"/>
      <c r="E49" s="30"/>
      <c r="F49" s="207"/>
      <c r="G49" s="77"/>
      <c r="H49" s="79">
        <f t="shared" si="4"/>
        <v>0</v>
      </c>
    </row>
    <row r="50" spans="3:10" ht="12.75" customHeight="1" x14ac:dyDescent="0.25">
      <c r="C50" s="81" t="s">
        <v>229</v>
      </c>
      <c r="D50" s="76"/>
      <c r="E50" s="30"/>
      <c r="F50" s="207"/>
      <c r="G50" s="77"/>
      <c r="H50" s="79">
        <f t="shared" si="4"/>
        <v>0</v>
      </c>
    </row>
    <row r="51" spans="3:10" ht="12.75" customHeight="1" x14ac:dyDescent="0.25">
      <c r="C51" s="81" t="s">
        <v>259</v>
      </c>
      <c r="D51" s="76"/>
      <c r="E51" s="30"/>
      <c r="F51" s="207"/>
      <c r="G51" s="77"/>
      <c r="H51" s="79">
        <f>G51</f>
        <v>0</v>
      </c>
    </row>
    <row r="52" spans="3:10" ht="12.75" customHeight="1" x14ac:dyDescent="0.25">
      <c r="C52" s="152"/>
      <c r="D52" s="153" t="s">
        <v>230</v>
      </c>
      <c r="E52" s="154"/>
      <c r="F52" s="155"/>
      <c r="G52" s="156"/>
      <c r="H52" s="157">
        <f>SUM(H35:H51)</f>
        <v>8494000</v>
      </c>
    </row>
    <row r="53" spans="3:10" ht="12.75" customHeight="1" x14ac:dyDescent="0.25">
      <c r="C53" s="78"/>
      <c r="D53" s="76" t="s">
        <v>1</v>
      </c>
      <c r="E53" s="30" t="s">
        <v>5</v>
      </c>
      <c r="F53" s="17">
        <f>H13</f>
        <v>0.05</v>
      </c>
      <c r="G53" s="40">
        <f>H52</f>
        <v>8494000</v>
      </c>
      <c r="H53" s="18">
        <f>G53*F53</f>
        <v>424700</v>
      </c>
    </row>
    <row r="54" spans="3:10" ht="12.75" customHeight="1" x14ac:dyDescent="0.25">
      <c r="C54" s="152"/>
      <c r="D54" s="153" t="s">
        <v>213</v>
      </c>
      <c r="E54" s="154"/>
      <c r="F54" s="155"/>
      <c r="G54" s="156"/>
      <c r="H54" s="157">
        <f>SUM(H53)</f>
        <v>424700</v>
      </c>
    </row>
    <row r="55" spans="3:10" ht="12.75" customHeight="1" thickBot="1" x14ac:dyDescent="0.3">
      <c r="C55" s="80"/>
      <c r="D55" s="99" t="s">
        <v>270</v>
      </c>
      <c r="E55" s="41"/>
      <c r="F55" s="42"/>
      <c r="G55" s="82"/>
      <c r="H55" s="139">
        <f>H54+H52</f>
        <v>8918700</v>
      </c>
    </row>
    <row r="56" spans="3:10" ht="12.75" customHeight="1" thickBot="1" x14ac:dyDescent="0.3">
      <c r="D56" s="72"/>
      <c r="E56" s="75"/>
      <c r="F56" s="75"/>
      <c r="G56" s="73"/>
    </row>
    <row r="57" spans="3:10" ht="12.75" customHeight="1" x14ac:dyDescent="0.25">
      <c r="C57" s="59">
        <v>3</v>
      </c>
      <c r="D57" s="63" t="s">
        <v>177</v>
      </c>
      <c r="E57" s="64" t="s">
        <v>3</v>
      </c>
      <c r="F57" s="65" t="s">
        <v>4</v>
      </c>
      <c r="G57" s="28" t="s">
        <v>199</v>
      </c>
      <c r="H57" s="66" t="s">
        <v>200</v>
      </c>
    </row>
    <row r="58" spans="3:10" ht="12.75" customHeight="1" x14ac:dyDescent="0.25">
      <c r="C58" s="81" t="s">
        <v>32</v>
      </c>
      <c r="D58" s="76" t="s">
        <v>157</v>
      </c>
      <c r="E58" s="30" t="s">
        <v>3</v>
      </c>
      <c r="F58" s="207">
        <v>1</v>
      </c>
      <c r="G58" s="77">
        <v>125000</v>
      </c>
      <c r="H58" s="79">
        <f>G58*F58</f>
        <v>125000</v>
      </c>
    </row>
    <row r="59" spans="3:10" ht="12.75" customHeight="1" x14ac:dyDescent="0.25">
      <c r="C59" s="81" t="s">
        <v>33</v>
      </c>
      <c r="D59" s="76" t="s">
        <v>181</v>
      </c>
      <c r="E59" s="6" t="s">
        <v>5</v>
      </c>
      <c r="F59" s="207">
        <v>1</v>
      </c>
      <c r="G59" s="77">
        <v>1850000</v>
      </c>
      <c r="H59" s="79">
        <f>G59*F59</f>
        <v>1850000</v>
      </c>
      <c r="J59" s="4" t="s">
        <v>391</v>
      </c>
    </row>
    <row r="60" spans="3:10" ht="12.75" customHeight="1" x14ac:dyDescent="0.25">
      <c r="C60" s="81" t="s">
        <v>34</v>
      </c>
      <c r="D60" s="13" t="s">
        <v>116</v>
      </c>
      <c r="E60" s="14" t="s">
        <v>5</v>
      </c>
      <c r="F60" s="207"/>
      <c r="G60" s="77"/>
      <c r="H60" s="79">
        <f t="shared" ref="H60:H62" si="5">F60*G60</f>
        <v>0</v>
      </c>
    </row>
    <row r="61" spans="3:10" ht="12.75" customHeight="1" x14ac:dyDescent="0.25">
      <c r="C61" s="81" t="s">
        <v>35</v>
      </c>
      <c r="D61" s="13" t="s">
        <v>125</v>
      </c>
      <c r="E61" s="14" t="s">
        <v>5</v>
      </c>
      <c r="F61" s="207"/>
      <c r="G61" s="77"/>
      <c r="H61" s="79">
        <f t="shared" si="5"/>
        <v>0</v>
      </c>
    </row>
    <row r="62" spans="3:10" ht="12.75" customHeight="1" x14ac:dyDescent="0.25">
      <c r="C62" s="81" t="s">
        <v>36</v>
      </c>
      <c r="D62" s="13" t="s">
        <v>126</v>
      </c>
      <c r="E62" s="14" t="s">
        <v>5</v>
      </c>
      <c r="F62" s="207"/>
      <c r="G62" s="77"/>
      <c r="H62" s="79">
        <f t="shared" si="5"/>
        <v>0</v>
      </c>
    </row>
    <row r="63" spans="3:10" ht="12.75" customHeight="1" x14ac:dyDescent="0.25">
      <c r="C63" s="81" t="s">
        <v>37</v>
      </c>
      <c r="D63" s="76"/>
      <c r="E63" s="30"/>
      <c r="F63" s="207"/>
      <c r="G63" s="77"/>
      <c r="H63" s="79">
        <f t="shared" ref="H63" si="6">G63*F63</f>
        <v>0</v>
      </c>
    </row>
    <row r="64" spans="3:10" ht="12.75" customHeight="1" x14ac:dyDescent="0.25">
      <c r="C64" s="152"/>
      <c r="D64" s="153" t="s">
        <v>176</v>
      </c>
      <c r="E64" s="154"/>
      <c r="F64" s="155"/>
      <c r="G64" s="156"/>
      <c r="H64" s="157">
        <f>SUM(H58:H63)</f>
        <v>1975000</v>
      </c>
    </row>
    <row r="65" spans="3:10" ht="12.75" customHeight="1" x14ac:dyDescent="0.25">
      <c r="C65" s="78"/>
      <c r="D65" s="76" t="s">
        <v>1</v>
      </c>
      <c r="E65" s="30"/>
      <c r="F65" s="17">
        <f>H13</f>
        <v>0.05</v>
      </c>
      <c r="G65" s="40">
        <f>H64</f>
        <v>1975000</v>
      </c>
      <c r="H65" s="18">
        <f>G65*F65</f>
        <v>98750</v>
      </c>
    </row>
    <row r="66" spans="3:10" ht="12.75" customHeight="1" x14ac:dyDescent="0.25">
      <c r="C66" s="152"/>
      <c r="D66" s="153" t="s">
        <v>175</v>
      </c>
      <c r="E66" s="154"/>
      <c r="F66" s="155"/>
      <c r="G66" s="156"/>
      <c r="H66" s="157">
        <f>SUM(H65)</f>
        <v>98750</v>
      </c>
    </row>
    <row r="67" spans="3:10" ht="12.75" customHeight="1" thickBot="1" x14ac:dyDescent="0.3">
      <c r="C67" s="140"/>
      <c r="D67" s="99" t="s">
        <v>271</v>
      </c>
      <c r="E67" s="21"/>
      <c r="F67" s="141"/>
      <c r="G67" s="142"/>
      <c r="H67" s="139">
        <f>H66+H64</f>
        <v>2073750</v>
      </c>
    </row>
    <row r="68" spans="3:10" ht="12.75" customHeight="1" thickBot="1" x14ac:dyDescent="0.3">
      <c r="D68" s="72"/>
      <c r="E68" s="75"/>
      <c r="F68" s="75"/>
      <c r="G68" s="73"/>
    </row>
    <row r="69" spans="3:10" ht="12.75" customHeight="1" x14ac:dyDescent="0.25">
      <c r="C69" s="59">
        <v>4</v>
      </c>
      <c r="D69" s="63" t="s">
        <v>395</v>
      </c>
      <c r="E69" s="64" t="s">
        <v>3</v>
      </c>
      <c r="F69" s="65" t="s">
        <v>4</v>
      </c>
      <c r="G69" s="28" t="s">
        <v>199</v>
      </c>
      <c r="H69" s="66" t="s">
        <v>200</v>
      </c>
    </row>
    <row r="70" spans="3:10" ht="12.75" customHeight="1" x14ac:dyDescent="0.25">
      <c r="C70" s="81" t="s">
        <v>131</v>
      </c>
      <c r="D70" s="76" t="s">
        <v>178</v>
      </c>
      <c r="E70" s="30" t="s">
        <v>74</v>
      </c>
      <c r="F70" s="207">
        <f>F35</f>
        <v>8500</v>
      </c>
      <c r="G70" s="77">
        <v>60</v>
      </c>
      <c r="H70" s="79">
        <f t="shared" ref="H70:H71" si="7">G70*F70</f>
        <v>510000</v>
      </c>
      <c r="J70" s="4" t="s">
        <v>398</v>
      </c>
    </row>
    <row r="71" spans="3:10" x14ac:dyDescent="0.25">
      <c r="C71" s="81" t="s">
        <v>132</v>
      </c>
      <c r="D71" s="76" t="s">
        <v>179</v>
      </c>
      <c r="E71" s="30" t="s">
        <v>74</v>
      </c>
      <c r="F71" s="207">
        <f>+F70</f>
        <v>8500</v>
      </c>
      <c r="G71" s="77">
        <v>40</v>
      </c>
      <c r="H71" s="79">
        <f t="shared" si="7"/>
        <v>340000</v>
      </c>
      <c r="J71" s="4" t="s">
        <v>399</v>
      </c>
    </row>
    <row r="72" spans="3:10" x14ac:dyDescent="0.25">
      <c r="C72" s="81" t="s">
        <v>133</v>
      </c>
      <c r="D72" s="76" t="s">
        <v>348</v>
      </c>
      <c r="E72" s="30" t="s">
        <v>5</v>
      </c>
      <c r="F72" s="207">
        <v>1</v>
      </c>
      <c r="G72" s="77">
        <v>50000</v>
      </c>
      <c r="H72" s="79">
        <f t="shared" ref="H72" si="8">G72*F72</f>
        <v>50000</v>
      </c>
    </row>
    <row r="73" spans="3:10" x14ac:dyDescent="0.25">
      <c r="C73" s="81" t="s">
        <v>134</v>
      </c>
      <c r="D73" s="76" t="s">
        <v>342</v>
      </c>
      <c r="E73" s="30" t="s">
        <v>12</v>
      </c>
      <c r="F73" s="207">
        <v>3</v>
      </c>
      <c r="G73" s="77">
        <v>80000</v>
      </c>
      <c r="H73" s="79">
        <f>F73*G73</f>
        <v>240000</v>
      </c>
    </row>
    <row r="74" spans="3:10" x14ac:dyDescent="0.25">
      <c r="C74" s="81"/>
      <c r="D74" s="153" t="s">
        <v>397</v>
      </c>
      <c r="E74" s="154"/>
      <c r="F74" s="155"/>
      <c r="G74" s="156"/>
      <c r="H74" s="157">
        <f>SUM(H70:H73)</f>
        <v>1140000</v>
      </c>
    </row>
    <row r="75" spans="3:10" x14ac:dyDescent="0.25">
      <c r="C75" s="81"/>
      <c r="D75" s="76" t="s">
        <v>1</v>
      </c>
      <c r="E75" s="30"/>
      <c r="F75" s="17">
        <f>H13</f>
        <v>0.05</v>
      </c>
      <c r="G75" s="40">
        <f>H74</f>
        <v>1140000</v>
      </c>
      <c r="H75" s="18">
        <f>G75*F75</f>
        <v>57000</v>
      </c>
    </row>
    <row r="76" spans="3:10" x14ac:dyDescent="0.25">
      <c r="C76" s="81"/>
      <c r="D76" s="153" t="s">
        <v>400</v>
      </c>
      <c r="E76" s="154"/>
      <c r="F76" s="155"/>
      <c r="G76" s="156"/>
      <c r="H76" s="157">
        <f>SUM(H75)</f>
        <v>57000</v>
      </c>
    </row>
    <row r="77" spans="3:10" ht="13.8" thickBot="1" x14ac:dyDescent="0.3">
      <c r="C77" s="81"/>
      <c r="D77" s="99" t="s">
        <v>396</v>
      </c>
      <c r="E77" s="21"/>
      <c r="F77" s="141"/>
      <c r="G77" s="142"/>
      <c r="H77" s="139">
        <f>H76+H74</f>
        <v>1197000</v>
      </c>
    </row>
    <row r="78" spans="3:10" x14ac:dyDescent="0.25">
      <c r="C78" s="75"/>
      <c r="D78" s="75"/>
      <c r="E78" s="75"/>
      <c r="F78" s="75"/>
      <c r="G78" s="75"/>
      <c r="H78" s="75"/>
    </row>
    <row r="79" spans="3:10" x14ac:dyDescent="0.25">
      <c r="C79" s="75"/>
      <c r="D79" s="75"/>
      <c r="E79" s="75"/>
      <c r="F79" s="75"/>
      <c r="G79" s="75"/>
      <c r="H79" s="75"/>
    </row>
    <row r="80" spans="3:10" ht="13.8" thickBot="1" x14ac:dyDescent="0.3">
      <c r="D80" s="72"/>
      <c r="E80" s="75"/>
      <c r="F80" s="75"/>
      <c r="G80" s="73"/>
    </row>
    <row r="81" spans="3:11" x14ac:dyDescent="0.25">
      <c r="C81" s="291" t="s">
        <v>187</v>
      </c>
      <c r="D81" s="292"/>
      <c r="E81" s="292"/>
      <c r="F81" s="292"/>
      <c r="G81" s="292"/>
      <c r="H81" s="293"/>
    </row>
    <row r="82" spans="3:11" ht="15" x14ac:dyDescent="0.25">
      <c r="C82" s="90"/>
      <c r="D82" s="83" t="s">
        <v>188</v>
      </c>
      <c r="E82" s="88"/>
      <c r="F82" s="89"/>
      <c r="G82" s="84"/>
      <c r="H82" s="96">
        <f>SUM(F17:F27)</f>
        <v>93</v>
      </c>
    </row>
    <row r="83" spans="3:11" x14ac:dyDescent="0.25">
      <c r="C83" s="90"/>
      <c r="D83" s="85" t="s">
        <v>184</v>
      </c>
      <c r="E83" s="83"/>
      <c r="F83" s="86"/>
      <c r="G83" s="87"/>
      <c r="H83" s="180">
        <f>H29+H52+H64+H74</f>
        <v>19354000</v>
      </c>
      <c r="K83" s="186"/>
    </row>
    <row r="84" spans="3:11" x14ac:dyDescent="0.25">
      <c r="C84" s="94"/>
      <c r="D84" s="85" t="s">
        <v>185</v>
      </c>
      <c r="E84" s="83"/>
      <c r="F84" s="86"/>
      <c r="G84" s="87"/>
      <c r="H84" s="91">
        <f>H31+H54+H66+H76</f>
        <v>967700</v>
      </c>
    </row>
    <row r="85" spans="3:11" x14ac:dyDescent="0.25">
      <c r="C85" s="94"/>
      <c r="D85" s="85" t="s">
        <v>186</v>
      </c>
      <c r="E85" s="83"/>
      <c r="F85" s="86"/>
      <c r="G85" s="87"/>
      <c r="H85" s="91">
        <f>SUM(H83:H84)</f>
        <v>20321700</v>
      </c>
    </row>
    <row r="86" spans="3:11" x14ac:dyDescent="0.25">
      <c r="C86" s="191"/>
      <c r="D86" s="192" t="s">
        <v>289</v>
      </c>
      <c r="E86" s="193"/>
      <c r="F86" s="194"/>
      <c r="G86" s="195"/>
      <c r="H86" s="91">
        <f>IFERROR(H85/E13,0)</f>
        <v>2032170</v>
      </c>
    </row>
    <row r="87" spans="3:11" ht="14.4" thickBot="1" x14ac:dyDescent="0.3">
      <c r="C87" s="92"/>
      <c r="D87" s="97" t="s">
        <v>257</v>
      </c>
      <c r="E87" s="93"/>
      <c r="F87" s="93"/>
      <c r="G87" s="93"/>
      <c r="H87" s="144">
        <f>IFERROR(H85/E14/1000,0)</f>
        <v>239.07882352941178</v>
      </c>
    </row>
    <row r="88" spans="3:11" ht="13.8" x14ac:dyDescent="0.25">
      <c r="C88" s="176"/>
      <c r="D88" s="177"/>
      <c r="E88" s="178"/>
      <c r="F88" s="178"/>
      <c r="G88" s="178"/>
      <c r="H88" s="179"/>
    </row>
    <row r="89" spans="3:11" x14ac:dyDescent="0.25">
      <c r="H89" s="4"/>
    </row>
  </sheetData>
  <mergeCells count="14">
    <mergeCell ref="E12:F12"/>
    <mergeCell ref="E14:F14"/>
    <mergeCell ref="C81:H81"/>
    <mergeCell ref="C2:H2"/>
    <mergeCell ref="C3:H3"/>
    <mergeCell ref="E6:F6"/>
    <mergeCell ref="E7:F7"/>
    <mergeCell ref="D5:F5"/>
    <mergeCell ref="E11:F11"/>
    <mergeCell ref="E8:F8"/>
    <mergeCell ref="E9:F9"/>
    <mergeCell ref="E10:F10"/>
    <mergeCell ref="E13:F13"/>
    <mergeCell ref="H9:H12"/>
  </mergeCells>
  <printOptions horizontalCentered="1" verticalCentered="1"/>
  <pageMargins left="0" right="0" top="0" bottom="0" header="0.31496062992125984" footer="0.31496062992125984"/>
  <pageSetup scale="35" orientation="portrait" r:id="rId1"/>
  <headerFooter>
    <oddHeader>&amp;C&amp;"Arial,Negrita"
&amp;F</oddHeader>
    <oddFooter>&amp;CFederación Nacional de productores de panela - Fedepanela
Programa Comercial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DL94"/>
  <sheetViews>
    <sheetView showGridLines="0" view="pageBreakPreview" topLeftCell="A72" zoomScale="115" zoomScaleNormal="75" zoomScaleSheetLayoutView="115" workbookViewId="0">
      <selection activeCell="G65" sqref="G65"/>
    </sheetView>
  </sheetViews>
  <sheetFormatPr baseColWidth="10" defaultColWidth="11.44140625" defaultRowHeight="13.2" x14ac:dyDescent="0.25"/>
  <cols>
    <col min="1" max="1" width="2.109375" style="4" customWidth="1"/>
    <col min="2" max="2" width="2.109375" style="5" customWidth="1"/>
    <col min="3" max="3" width="4.5546875" style="5" bestFit="1" customWidth="1"/>
    <col min="4" max="4" width="53.88671875" style="5" customWidth="1"/>
    <col min="5" max="5" width="17.5546875" style="5" bestFit="1" customWidth="1"/>
    <col min="6" max="6" width="14.88671875" style="5" customWidth="1"/>
    <col min="7" max="7" width="18.33203125" style="67" bestFit="1" customWidth="1"/>
    <col min="8" max="8" width="18.109375" style="67" customWidth="1"/>
    <col min="9" max="9" width="2.88671875" style="5" customWidth="1"/>
    <col min="10" max="10" width="13.44140625" style="4" bestFit="1" customWidth="1"/>
    <col min="11" max="11" width="14.44140625" style="4" customWidth="1"/>
    <col min="12" max="12" width="11.44140625" style="4"/>
    <col min="13" max="13" width="0" style="4" hidden="1" customWidth="1"/>
    <col min="14" max="14" width="25.44140625" style="4" hidden="1" customWidth="1"/>
    <col min="15" max="27" width="0" style="4" hidden="1" customWidth="1"/>
    <col min="28" max="30" width="11.44140625" style="4"/>
    <col min="31" max="31" width="15.109375" style="4" customWidth="1"/>
    <col min="32" max="16384" width="11.44140625" style="4"/>
  </cols>
  <sheetData>
    <row r="1" spans="1:116" ht="12.75" customHeight="1" x14ac:dyDescent="0.25"/>
    <row r="2" spans="1:116" ht="12.75" customHeight="1" thickBot="1" x14ac:dyDescent="0.3"/>
    <row r="3" spans="1:116" ht="12.75" customHeight="1" x14ac:dyDescent="0.25">
      <c r="B3" s="68"/>
      <c r="C3" s="294" t="s">
        <v>234</v>
      </c>
      <c r="D3" s="295"/>
      <c r="E3" s="295"/>
      <c r="F3" s="295"/>
      <c r="G3" s="295"/>
      <c r="H3" s="296"/>
      <c r="I3" s="68"/>
    </row>
    <row r="4" spans="1:116" ht="12.75" customHeight="1" thickBot="1" x14ac:dyDescent="0.3">
      <c r="C4" s="297" t="s">
        <v>166</v>
      </c>
      <c r="D4" s="298"/>
      <c r="E4" s="298"/>
      <c r="F4" s="298"/>
      <c r="G4" s="298"/>
      <c r="H4" s="299"/>
    </row>
    <row r="5" spans="1:116" ht="12.75" customHeight="1" thickBot="1" x14ac:dyDescent="0.3">
      <c r="D5" s="69"/>
      <c r="E5" s="69"/>
      <c r="F5" s="4"/>
      <c r="G5" s="4"/>
      <c r="H5" s="4"/>
    </row>
    <row r="6" spans="1:116" ht="12.75" customHeight="1" thickBot="1" x14ac:dyDescent="0.3">
      <c r="A6" s="164"/>
      <c r="B6" s="4"/>
      <c r="C6" s="4"/>
      <c r="D6" s="313" t="s">
        <v>275</v>
      </c>
      <c r="E6" s="314"/>
      <c r="F6" s="315"/>
      <c r="G6" s="4"/>
      <c r="H6" s="4"/>
      <c r="I6" s="4"/>
    </row>
    <row r="7" spans="1:116" s="148" customFormat="1" ht="12.75" customHeight="1" x14ac:dyDescent="0.25">
      <c r="B7" s="151"/>
      <c r="C7" s="149"/>
      <c r="D7" s="159" t="s">
        <v>263</v>
      </c>
      <c r="E7" s="307" t="str">
        <f>'Costos siembra nueva'!E6:F6</f>
        <v>enero de 2025</v>
      </c>
      <c r="F7" s="308"/>
      <c r="G7" s="4"/>
      <c r="H7" s="4"/>
      <c r="I7" s="4"/>
      <c r="J7" s="4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</row>
    <row r="8" spans="1:116" s="148" customFormat="1" ht="12.75" customHeight="1" thickBot="1" x14ac:dyDescent="0.3">
      <c r="B8" s="151"/>
      <c r="C8" s="149"/>
      <c r="D8" s="160" t="s">
        <v>264</v>
      </c>
      <c r="E8" s="309" t="str">
        <f>'Costos siembra nueva'!E7:F7</f>
        <v>Cundinamarca</v>
      </c>
      <c r="F8" s="310"/>
      <c r="G8" s="4"/>
      <c r="H8" s="4"/>
      <c r="I8" s="4"/>
      <c r="J8" s="4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</row>
    <row r="9" spans="1:116" s="148" customFormat="1" ht="12.75" customHeight="1" x14ac:dyDescent="0.25">
      <c r="B9" s="151"/>
      <c r="C9" s="149"/>
      <c r="D9" s="160" t="s">
        <v>265</v>
      </c>
      <c r="E9" s="309" t="str">
        <f>'Costos siembra nueva'!E8:F8</f>
        <v>Utica</v>
      </c>
      <c r="F9" s="310"/>
      <c r="G9" s="4"/>
      <c r="H9" s="305" t="s">
        <v>1</v>
      </c>
      <c r="I9" s="4"/>
      <c r="J9" s="4"/>
      <c r="K9" s="147" t="s">
        <v>262</v>
      </c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</row>
    <row r="10" spans="1:116" s="148" customFormat="1" ht="12.75" customHeight="1" x14ac:dyDescent="0.25">
      <c r="B10" s="151"/>
      <c r="C10" s="149"/>
      <c r="D10" s="160" t="s">
        <v>266</v>
      </c>
      <c r="E10" s="309" t="str">
        <f>'Costos siembra nueva'!E9:F9</f>
        <v>La Abuelita</v>
      </c>
      <c r="F10" s="310"/>
      <c r="G10" s="4"/>
      <c r="H10" s="306"/>
      <c r="I10" s="4"/>
      <c r="J10" s="4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</row>
    <row r="11" spans="1:116" s="148" customFormat="1" ht="12.75" customHeight="1" x14ac:dyDescent="0.25">
      <c r="B11" s="151"/>
      <c r="C11" s="149"/>
      <c r="D11" s="160" t="s">
        <v>267</v>
      </c>
      <c r="E11" s="309">
        <f>'Costos siembra nueva'!E10:F10</f>
        <v>0</v>
      </c>
      <c r="F11" s="310"/>
      <c r="G11" s="4"/>
      <c r="H11" s="306"/>
      <c r="I11" s="4"/>
      <c r="J11" s="4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</row>
    <row r="12" spans="1:116" s="148" customFormat="1" ht="12.75" customHeight="1" x14ac:dyDescent="0.25">
      <c r="A12" s="150"/>
      <c r="B12" s="4"/>
      <c r="C12" s="4"/>
      <c r="D12" s="162" t="s">
        <v>276</v>
      </c>
      <c r="E12" s="309">
        <f>'Costos siembra nueva'!E11:F11</f>
        <v>0</v>
      </c>
      <c r="F12" s="310"/>
      <c r="G12" s="4"/>
      <c r="H12" s="306"/>
      <c r="I12" s="4"/>
      <c r="J12" s="4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</row>
    <row r="13" spans="1:116" s="148" customFormat="1" ht="12.75" customHeight="1" thickBot="1" x14ac:dyDescent="0.3">
      <c r="B13" s="151"/>
      <c r="C13" s="149"/>
      <c r="D13" s="160" t="s">
        <v>268</v>
      </c>
      <c r="E13" s="309" t="str">
        <f>'Costos siembra nueva'!E12:F12</f>
        <v>Crisantos Bustos</v>
      </c>
      <c r="F13" s="310"/>
      <c r="G13" s="4"/>
      <c r="H13" s="208">
        <f>+'Costos siembra nueva'!H13</f>
        <v>0.05</v>
      </c>
      <c r="I13" s="4"/>
      <c r="J13" s="4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</row>
    <row r="14" spans="1:116" s="148" customFormat="1" ht="12.75" customHeight="1" thickBot="1" x14ac:dyDescent="0.3">
      <c r="A14" s="150"/>
      <c r="B14" s="150"/>
      <c r="C14" s="149"/>
      <c r="D14" s="163" t="s">
        <v>273</v>
      </c>
      <c r="E14" s="311">
        <f>+'Costos siembra nueva'!E14:F14</f>
        <v>85</v>
      </c>
      <c r="F14" s="312"/>
      <c r="G14" s="4"/>
      <c r="H14" s="4"/>
      <c r="I14" s="4"/>
      <c r="J14" s="4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</row>
    <row r="15" spans="1:116" ht="12.75" customHeight="1" thickBot="1" x14ac:dyDescent="0.3">
      <c r="D15" s="69"/>
      <c r="E15" s="69"/>
      <c r="F15" s="69"/>
      <c r="G15" s="70"/>
      <c r="H15" s="71"/>
    </row>
    <row r="16" spans="1:116" ht="12.75" customHeight="1" x14ac:dyDescent="0.25">
      <c r="C16" s="59">
        <v>1</v>
      </c>
      <c r="D16" s="63" t="s">
        <v>11</v>
      </c>
      <c r="E16" s="64" t="s">
        <v>3</v>
      </c>
      <c r="F16" s="65" t="s">
        <v>4</v>
      </c>
      <c r="G16" s="28" t="s">
        <v>199</v>
      </c>
      <c r="H16" s="66" t="s">
        <v>200</v>
      </c>
    </row>
    <row r="17" spans="3:12" ht="12.75" customHeight="1" x14ac:dyDescent="0.25">
      <c r="C17" s="81" t="s">
        <v>13</v>
      </c>
      <c r="D17" s="76" t="s">
        <v>6</v>
      </c>
      <c r="E17" s="30" t="s">
        <v>12</v>
      </c>
      <c r="F17" s="207">
        <v>5</v>
      </c>
      <c r="G17" s="77">
        <v>80000</v>
      </c>
      <c r="H17" s="79">
        <f>F17*G17</f>
        <v>400000</v>
      </c>
      <c r="L17" s="74"/>
    </row>
    <row r="18" spans="3:12" ht="12.75" customHeight="1" x14ac:dyDescent="0.25">
      <c r="C18" s="81" t="s">
        <v>14</v>
      </c>
      <c r="D18" s="76" t="s">
        <v>349</v>
      </c>
      <c r="E18" s="30" t="s">
        <v>12</v>
      </c>
      <c r="F18" s="207">
        <v>10</v>
      </c>
      <c r="G18" s="77">
        <v>80000</v>
      </c>
      <c r="H18" s="79">
        <f t="shared" ref="H18:H31" si="0">F18*G18</f>
        <v>800000</v>
      </c>
      <c r="L18" s="74"/>
    </row>
    <row r="19" spans="3:12" ht="12.75" customHeight="1" x14ac:dyDescent="0.25">
      <c r="C19" s="81" t="s">
        <v>16</v>
      </c>
      <c r="D19" s="76" t="s">
        <v>350</v>
      </c>
      <c r="E19" s="30" t="s">
        <v>12</v>
      </c>
      <c r="F19" s="207">
        <v>1</v>
      </c>
      <c r="G19" s="77">
        <v>80000</v>
      </c>
      <c r="H19" s="79">
        <f t="shared" si="0"/>
        <v>80000</v>
      </c>
      <c r="L19" s="74"/>
    </row>
    <row r="20" spans="3:12" ht="12.75" customHeight="1" x14ac:dyDescent="0.25">
      <c r="C20" s="81" t="s">
        <v>17</v>
      </c>
      <c r="D20" s="76" t="s">
        <v>228</v>
      </c>
      <c r="E20" s="30" t="s">
        <v>12</v>
      </c>
      <c r="F20" s="207">
        <v>3</v>
      </c>
      <c r="G20" s="77">
        <v>80000</v>
      </c>
      <c r="H20" s="79">
        <f t="shared" si="0"/>
        <v>240000</v>
      </c>
      <c r="L20" s="74"/>
    </row>
    <row r="21" spans="3:12" ht="12.75" customHeight="1" x14ac:dyDescent="0.25">
      <c r="C21" s="81" t="s">
        <v>19</v>
      </c>
      <c r="D21" s="76" t="s">
        <v>351</v>
      </c>
      <c r="E21" s="30" t="s">
        <v>12</v>
      </c>
      <c r="F21" s="207">
        <v>10</v>
      </c>
      <c r="G21" s="77">
        <v>80000</v>
      </c>
      <c r="H21" s="79">
        <f t="shared" ref="H21:H29" si="1">F21*G21</f>
        <v>800000</v>
      </c>
      <c r="L21" s="74"/>
    </row>
    <row r="22" spans="3:12" ht="12.75" customHeight="1" x14ac:dyDescent="0.25">
      <c r="C22" s="81" t="s">
        <v>20</v>
      </c>
      <c r="D22" s="76" t="s">
        <v>352</v>
      </c>
      <c r="E22" s="30" t="s">
        <v>12</v>
      </c>
      <c r="F22" s="207">
        <v>4</v>
      </c>
      <c r="G22" s="77">
        <v>80000</v>
      </c>
      <c r="H22" s="79">
        <f t="shared" si="1"/>
        <v>320000</v>
      </c>
      <c r="L22" s="74"/>
    </row>
    <row r="23" spans="3:12" ht="12.75" customHeight="1" x14ac:dyDescent="0.25">
      <c r="C23" s="81" t="s">
        <v>21</v>
      </c>
      <c r="D23" s="76" t="s">
        <v>353</v>
      </c>
      <c r="E23" s="30" t="s">
        <v>12</v>
      </c>
      <c r="F23" s="207">
        <v>8</v>
      </c>
      <c r="G23" s="77">
        <v>80000</v>
      </c>
      <c r="H23" s="79">
        <f t="shared" si="1"/>
        <v>640000</v>
      </c>
      <c r="L23" s="74"/>
    </row>
    <row r="24" spans="3:12" ht="12.75" customHeight="1" x14ac:dyDescent="0.25">
      <c r="C24" s="81" t="s">
        <v>72</v>
      </c>
      <c r="D24" s="76" t="s">
        <v>354</v>
      </c>
      <c r="E24" s="30" t="s">
        <v>12</v>
      </c>
      <c r="F24" s="207">
        <v>6</v>
      </c>
      <c r="G24" s="77">
        <v>80000</v>
      </c>
      <c r="H24" s="79">
        <f t="shared" si="1"/>
        <v>480000</v>
      </c>
      <c r="L24" s="74"/>
    </row>
    <row r="25" spans="3:12" ht="12.75" customHeight="1" x14ac:dyDescent="0.25">
      <c r="C25" s="81" t="s">
        <v>52</v>
      </c>
      <c r="D25" s="76"/>
      <c r="E25" s="30"/>
      <c r="F25" s="207"/>
      <c r="G25" s="77"/>
      <c r="H25" s="79">
        <f t="shared" si="1"/>
        <v>0</v>
      </c>
      <c r="L25" s="74"/>
    </row>
    <row r="26" spans="3:12" ht="12.75" customHeight="1" x14ac:dyDescent="0.25">
      <c r="C26" s="81" t="s">
        <v>53</v>
      </c>
      <c r="D26" s="76"/>
      <c r="E26" s="30"/>
      <c r="F26" s="207"/>
      <c r="G26" s="77"/>
      <c r="H26" s="79">
        <f t="shared" si="1"/>
        <v>0</v>
      </c>
      <c r="L26" s="74"/>
    </row>
    <row r="27" spans="3:12" ht="12.75" customHeight="1" x14ac:dyDescent="0.25">
      <c r="C27" s="81" t="s">
        <v>24</v>
      </c>
      <c r="D27" s="76"/>
      <c r="E27" s="30"/>
      <c r="F27" s="207"/>
      <c r="G27" s="77"/>
      <c r="H27" s="79">
        <f t="shared" si="1"/>
        <v>0</v>
      </c>
      <c r="L27" s="74"/>
    </row>
    <row r="28" spans="3:12" ht="12.75" customHeight="1" x14ac:dyDescent="0.25">
      <c r="C28" s="81" t="s">
        <v>109</v>
      </c>
      <c r="D28" s="76"/>
      <c r="E28" s="30"/>
      <c r="F28" s="207"/>
      <c r="G28" s="77"/>
      <c r="H28" s="79">
        <f t="shared" si="1"/>
        <v>0</v>
      </c>
      <c r="L28" s="74"/>
    </row>
    <row r="29" spans="3:12" ht="12.75" customHeight="1" x14ac:dyDescent="0.25">
      <c r="C29" s="81" t="s">
        <v>110</v>
      </c>
      <c r="D29" s="76"/>
      <c r="E29" s="30"/>
      <c r="F29" s="207"/>
      <c r="G29" s="77"/>
      <c r="H29" s="79">
        <f t="shared" si="1"/>
        <v>0</v>
      </c>
      <c r="L29" s="74"/>
    </row>
    <row r="30" spans="3:12" ht="12.75" customHeight="1" x14ac:dyDescent="0.25">
      <c r="C30" s="81" t="s">
        <v>111</v>
      </c>
      <c r="D30" s="76"/>
      <c r="E30" s="30"/>
      <c r="F30" s="207"/>
      <c r="G30" s="77"/>
      <c r="H30" s="79">
        <f t="shared" si="0"/>
        <v>0</v>
      </c>
      <c r="L30" s="74"/>
    </row>
    <row r="31" spans="3:12" ht="12.75" customHeight="1" x14ac:dyDescent="0.25">
      <c r="C31" s="81" t="s">
        <v>112</v>
      </c>
      <c r="D31" s="76" t="s">
        <v>2</v>
      </c>
      <c r="E31" s="30" t="s">
        <v>5</v>
      </c>
      <c r="F31" s="207">
        <v>1</v>
      </c>
      <c r="G31" s="77">
        <v>250000</v>
      </c>
      <c r="H31" s="79">
        <f t="shared" si="0"/>
        <v>250000</v>
      </c>
      <c r="L31" s="74"/>
    </row>
    <row r="32" spans="3:12" ht="12.75" customHeight="1" x14ac:dyDescent="0.25">
      <c r="C32" s="152"/>
      <c r="D32" s="153" t="s">
        <v>161</v>
      </c>
      <c r="E32" s="154"/>
      <c r="F32" s="155"/>
      <c r="G32" s="156"/>
      <c r="H32" s="157">
        <f>SUM(H17:H31)</f>
        <v>4010000</v>
      </c>
      <c r="L32" s="74"/>
    </row>
    <row r="33" spans="3:14" ht="12.75" customHeight="1" x14ac:dyDescent="0.25">
      <c r="C33" s="78"/>
      <c r="D33" s="76" t="s">
        <v>1</v>
      </c>
      <c r="E33" s="30" t="s">
        <v>5</v>
      </c>
      <c r="F33" s="17">
        <f>H13</f>
        <v>0.05</v>
      </c>
      <c r="G33" s="40">
        <f>H32</f>
        <v>4010000</v>
      </c>
      <c r="H33" s="18">
        <f>G33*F33</f>
        <v>200500</v>
      </c>
      <c r="L33" s="74"/>
    </row>
    <row r="34" spans="3:14" ht="12.75" customHeight="1" x14ac:dyDescent="0.25">
      <c r="C34" s="152"/>
      <c r="D34" s="153" t="s">
        <v>162</v>
      </c>
      <c r="E34" s="154"/>
      <c r="F34" s="155"/>
      <c r="G34" s="156"/>
      <c r="H34" s="157">
        <f>H33</f>
        <v>200500</v>
      </c>
      <c r="L34" s="74"/>
    </row>
    <row r="35" spans="3:14" ht="13.8" thickBot="1" x14ac:dyDescent="0.3">
      <c r="C35" s="80"/>
      <c r="D35" s="99" t="s">
        <v>243</v>
      </c>
      <c r="E35" s="41"/>
      <c r="F35" s="42"/>
      <c r="G35" s="82"/>
      <c r="H35" s="139">
        <f>H34+H32</f>
        <v>4210500</v>
      </c>
      <c r="L35" s="74"/>
    </row>
    <row r="36" spans="3:14" ht="12.75" customHeight="1" thickBot="1" x14ac:dyDescent="0.3">
      <c r="G36" s="5"/>
      <c r="H36" s="5"/>
      <c r="L36" s="74"/>
    </row>
    <row r="37" spans="3:14" ht="12.75" customHeight="1" x14ac:dyDescent="0.25">
      <c r="C37" s="59">
        <v>2</v>
      </c>
      <c r="D37" s="63" t="s">
        <v>173</v>
      </c>
      <c r="E37" s="64" t="s">
        <v>3</v>
      </c>
      <c r="F37" s="65" t="s">
        <v>4</v>
      </c>
      <c r="G37" s="28" t="s">
        <v>199</v>
      </c>
      <c r="H37" s="66" t="s">
        <v>200</v>
      </c>
      <c r="L37" s="74"/>
      <c r="N37" s="74"/>
    </row>
    <row r="38" spans="3:14" ht="12.75" customHeight="1" x14ac:dyDescent="0.25">
      <c r="C38" s="81" t="s">
        <v>56</v>
      </c>
      <c r="D38" s="76" t="s">
        <v>392</v>
      </c>
      <c r="E38" s="30" t="s">
        <v>74</v>
      </c>
      <c r="F38" s="207">
        <v>500</v>
      </c>
      <c r="G38" s="77">
        <v>450</v>
      </c>
      <c r="H38" s="79">
        <f t="shared" ref="H38" si="2">F38*G38</f>
        <v>225000</v>
      </c>
      <c r="L38" s="74"/>
    </row>
    <row r="39" spans="3:14" ht="12.75" customHeight="1" x14ac:dyDescent="0.25">
      <c r="C39" s="81" t="s">
        <v>57</v>
      </c>
      <c r="D39" s="76" t="s">
        <v>163</v>
      </c>
      <c r="E39" s="30" t="s">
        <v>5</v>
      </c>
      <c r="F39" s="207">
        <v>1</v>
      </c>
      <c r="G39" s="77">
        <v>20000</v>
      </c>
      <c r="H39" s="79">
        <f t="shared" ref="H39:H57" si="3">F39*G39</f>
        <v>20000</v>
      </c>
      <c r="L39" s="74"/>
    </row>
    <row r="40" spans="3:14" ht="12.75" customHeight="1" x14ac:dyDescent="0.25">
      <c r="C40" s="81" t="s">
        <v>27</v>
      </c>
      <c r="D40" s="76" t="s">
        <v>393</v>
      </c>
      <c r="E40" s="30" t="s">
        <v>74</v>
      </c>
      <c r="F40" s="207">
        <v>1000</v>
      </c>
      <c r="G40" s="77">
        <v>340</v>
      </c>
      <c r="H40" s="79">
        <f t="shared" si="3"/>
        <v>340000</v>
      </c>
      <c r="L40" s="74"/>
    </row>
    <row r="41" spans="3:14" ht="12.75" customHeight="1" x14ac:dyDescent="0.25">
      <c r="C41" s="81" t="s">
        <v>58</v>
      </c>
      <c r="D41" s="76" t="s">
        <v>347</v>
      </c>
      <c r="E41" s="30" t="s">
        <v>5</v>
      </c>
      <c r="F41" s="278">
        <v>1</v>
      </c>
      <c r="G41" s="209">
        <v>190000</v>
      </c>
      <c r="H41" s="79">
        <f t="shared" si="3"/>
        <v>190000</v>
      </c>
      <c r="L41" s="74"/>
    </row>
    <row r="42" spans="3:14" ht="12.75" customHeight="1" x14ac:dyDescent="0.25">
      <c r="C42" s="81" t="s">
        <v>59</v>
      </c>
      <c r="D42" s="76" t="s">
        <v>164</v>
      </c>
      <c r="E42" s="30" t="s">
        <v>5</v>
      </c>
      <c r="F42" s="207">
        <v>1</v>
      </c>
      <c r="G42" s="77">
        <v>85000</v>
      </c>
      <c r="H42" s="79">
        <f>F42*G42</f>
        <v>85000</v>
      </c>
      <c r="L42" s="74"/>
    </row>
    <row r="43" spans="3:14" ht="12.75" customHeight="1" x14ac:dyDescent="0.25">
      <c r="C43" s="81" t="s">
        <v>60</v>
      </c>
      <c r="D43" s="76"/>
      <c r="E43" s="30"/>
      <c r="F43" s="207"/>
      <c r="G43" s="77"/>
      <c r="H43" s="79">
        <f t="shared" ref="H43" si="4">F43*G43</f>
        <v>0</v>
      </c>
      <c r="L43" s="74"/>
    </row>
    <row r="44" spans="3:14" ht="12.75" customHeight="1" x14ac:dyDescent="0.25">
      <c r="C44" s="81" t="s">
        <v>104</v>
      </c>
      <c r="D44" s="76"/>
      <c r="E44" s="30"/>
      <c r="F44" s="207"/>
      <c r="G44" s="77"/>
      <c r="H44" s="79">
        <f t="shared" si="3"/>
        <v>0</v>
      </c>
      <c r="L44" s="74"/>
    </row>
    <row r="45" spans="3:14" ht="12.75" customHeight="1" x14ac:dyDescent="0.25">
      <c r="C45" s="81" t="s">
        <v>105</v>
      </c>
      <c r="D45" s="76"/>
      <c r="E45" s="30"/>
      <c r="F45" s="207"/>
      <c r="G45" s="77"/>
      <c r="H45" s="79">
        <f t="shared" si="3"/>
        <v>0</v>
      </c>
      <c r="L45" s="74"/>
    </row>
    <row r="46" spans="3:14" ht="12.75" customHeight="1" x14ac:dyDescent="0.25">
      <c r="C46" s="81" t="s">
        <v>106</v>
      </c>
      <c r="D46" s="76"/>
      <c r="E46" s="30"/>
      <c r="F46" s="207"/>
      <c r="G46" s="77"/>
      <c r="H46" s="79">
        <f t="shared" si="3"/>
        <v>0</v>
      </c>
      <c r="L46" s="74"/>
    </row>
    <row r="47" spans="3:14" ht="12.75" customHeight="1" x14ac:dyDescent="0.25">
      <c r="C47" s="81" t="s">
        <v>119</v>
      </c>
      <c r="D47" s="76"/>
      <c r="E47" s="30"/>
      <c r="F47" s="207"/>
      <c r="G47" s="77"/>
      <c r="H47" s="79">
        <f t="shared" si="3"/>
        <v>0</v>
      </c>
      <c r="L47" s="74"/>
    </row>
    <row r="48" spans="3:14" ht="12.75" customHeight="1" x14ac:dyDescent="0.25">
      <c r="C48" s="81" t="s">
        <v>120</v>
      </c>
      <c r="D48" s="76"/>
      <c r="E48" s="30"/>
      <c r="F48" s="207"/>
      <c r="G48" s="77"/>
      <c r="H48" s="79">
        <f t="shared" si="3"/>
        <v>0</v>
      </c>
      <c r="L48" s="74"/>
    </row>
    <row r="49" spans="3:12" ht="12.75" customHeight="1" x14ac:dyDescent="0.25">
      <c r="C49" s="81" t="s">
        <v>121</v>
      </c>
      <c r="D49" s="76"/>
      <c r="E49" s="30"/>
      <c r="F49" s="207"/>
      <c r="G49" s="77"/>
      <c r="H49" s="79">
        <f t="shared" si="3"/>
        <v>0</v>
      </c>
      <c r="L49" s="74"/>
    </row>
    <row r="50" spans="3:12" ht="12.75" customHeight="1" x14ac:dyDescent="0.25">
      <c r="C50" s="81" t="s">
        <v>170</v>
      </c>
      <c r="D50" s="76"/>
      <c r="E50" s="30"/>
      <c r="F50" s="207"/>
      <c r="G50" s="77"/>
      <c r="H50" s="79">
        <f t="shared" si="3"/>
        <v>0</v>
      </c>
      <c r="L50" s="74"/>
    </row>
    <row r="51" spans="3:12" ht="12.75" customHeight="1" x14ac:dyDescent="0.25">
      <c r="C51" s="81" t="s">
        <v>171</v>
      </c>
      <c r="D51" s="76"/>
      <c r="E51" s="30"/>
      <c r="F51" s="207"/>
      <c r="G51" s="77"/>
      <c r="H51" s="79">
        <f t="shared" si="3"/>
        <v>0</v>
      </c>
      <c r="L51" s="74"/>
    </row>
    <row r="52" spans="3:12" ht="12.75" customHeight="1" x14ac:dyDescent="0.25">
      <c r="C52" s="81" t="s">
        <v>172</v>
      </c>
      <c r="D52" s="76"/>
      <c r="E52" s="30"/>
      <c r="F52" s="207"/>
      <c r="G52" s="77"/>
      <c r="H52" s="79">
        <f t="shared" si="3"/>
        <v>0</v>
      </c>
      <c r="L52" s="74"/>
    </row>
    <row r="53" spans="3:12" ht="12.75" customHeight="1" x14ac:dyDescent="0.25">
      <c r="C53" s="81" t="s">
        <v>229</v>
      </c>
      <c r="D53" s="76"/>
      <c r="E53" s="30"/>
      <c r="F53" s="207"/>
      <c r="G53" s="77"/>
      <c r="H53" s="79">
        <f t="shared" si="3"/>
        <v>0</v>
      </c>
      <c r="L53" s="74"/>
    </row>
    <row r="54" spans="3:12" ht="12.75" customHeight="1" x14ac:dyDescent="0.25">
      <c r="C54" s="81" t="s">
        <v>259</v>
      </c>
      <c r="D54" s="76"/>
      <c r="E54" s="30"/>
      <c r="F54" s="207"/>
      <c r="G54" s="77"/>
      <c r="H54" s="79">
        <f t="shared" si="3"/>
        <v>0</v>
      </c>
      <c r="L54" s="74"/>
    </row>
    <row r="55" spans="3:12" ht="12.75" customHeight="1" x14ac:dyDescent="0.25">
      <c r="C55" s="81" t="s">
        <v>260</v>
      </c>
      <c r="D55" s="76"/>
      <c r="E55" s="30"/>
      <c r="F55" s="207"/>
      <c r="G55" s="77"/>
      <c r="H55" s="79">
        <f t="shared" si="3"/>
        <v>0</v>
      </c>
      <c r="L55" s="74"/>
    </row>
    <row r="56" spans="3:12" ht="12.75" customHeight="1" x14ac:dyDescent="0.25">
      <c r="C56" s="81" t="s">
        <v>303</v>
      </c>
      <c r="D56" s="76"/>
      <c r="E56" s="30"/>
      <c r="F56" s="207"/>
      <c r="G56" s="77"/>
      <c r="H56" s="79">
        <f t="shared" si="3"/>
        <v>0</v>
      </c>
      <c r="L56" s="74"/>
    </row>
    <row r="57" spans="3:12" ht="12.75" customHeight="1" x14ac:dyDescent="0.25">
      <c r="C57" s="81" t="s">
        <v>304</v>
      </c>
      <c r="D57" s="76"/>
      <c r="E57" s="30"/>
      <c r="F57" s="207"/>
      <c r="G57" s="77"/>
      <c r="H57" s="79">
        <f t="shared" si="3"/>
        <v>0</v>
      </c>
      <c r="L57" s="74"/>
    </row>
    <row r="58" spans="3:12" ht="12.75" customHeight="1" x14ac:dyDescent="0.25">
      <c r="C58" s="152"/>
      <c r="D58" s="153" t="s">
        <v>230</v>
      </c>
      <c r="E58" s="154"/>
      <c r="F58" s="155"/>
      <c r="G58" s="156"/>
      <c r="H58" s="157">
        <f>SUM(H38:H57)</f>
        <v>860000</v>
      </c>
      <c r="L58" s="74"/>
    </row>
    <row r="59" spans="3:12" ht="12.75" customHeight="1" x14ac:dyDescent="0.25">
      <c r="C59" s="78"/>
      <c r="D59" s="76" t="s">
        <v>1</v>
      </c>
      <c r="E59" s="30" t="s">
        <v>5</v>
      </c>
      <c r="F59" s="197">
        <f>H13</f>
        <v>0.05</v>
      </c>
      <c r="G59" s="77">
        <f>H58</f>
        <v>860000</v>
      </c>
      <c r="H59" s="79">
        <f>G59*F59</f>
        <v>43000</v>
      </c>
      <c r="L59" s="74"/>
    </row>
    <row r="60" spans="3:12" ht="12.75" customHeight="1" x14ac:dyDescent="0.25">
      <c r="C60" s="152"/>
      <c r="D60" s="153" t="s">
        <v>213</v>
      </c>
      <c r="E60" s="154"/>
      <c r="F60" s="155"/>
      <c r="G60" s="156"/>
      <c r="H60" s="157">
        <f>SUM(H59)</f>
        <v>43000</v>
      </c>
      <c r="L60" s="74"/>
    </row>
    <row r="61" spans="3:12" ht="12.75" customHeight="1" thickBot="1" x14ac:dyDescent="0.3">
      <c r="C61" s="80"/>
      <c r="D61" s="99" t="s">
        <v>212</v>
      </c>
      <c r="E61" s="41"/>
      <c r="F61" s="42"/>
      <c r="G61" s="82"/>
      <c r="H61" s="139">
        <f>H60+H58</f>
        <v>903000</v>
      </c>
      <c r="L61" s="74"/>
    </row>
    <row r="62" spans="3:12" ht="12.75" customHeight="1" thickBot="1" x14ac:dyDescent="0.3">
      <c r="D62" s="72"/>
      <c r="E62" s="75"/>
      <c r="F62" s="75"/>
      <c r="G62" s="73"/>
      <c r="L62" s="74"/>
    </row>
    <row r="63" spans="3:12" ht="12.75" customHeight="1" x14ac:dyDescent="0.25">
      <c r="C63" s="59">
        <v>3</v>
      </c>
      <c r="D63" s="63" t="s">
        <v>177</v>
      </c>
      <c r="E63" s="64" t="s">
        <v>3</v>
      </c>
      <c r="F63" s="65" t="s">
        <v>4</v>
      </c>
      <c r="G63" s="28" t="s">
        <v>199</v>
      </c>
      <c r="H63" s="66" t="s">
        <v>200</v>
      </c>
      <c r="L63" s="74"/>
    </row>
    <row r="64" spans="3:12" ht="12.75" customHeight="1" x14ac:dyDescent="0.25">
      <c r="C64" s="81" t="s">
        <v>34</v>
      </c>
      <c r="D64" s="76" t="s">
        <v>181</v>
      </c>
      <c r="E64" s="6" t="s">
        <v>5</v>
      </c>
      <c r="F64" s="207">
        <v>1</v>
      </c>
      <c r="G64" s="77">
        <v>1400000</v>
      </c>
      <c r="H64" s="79">
        <f t="shared" ref="H64" si="5">G64*F64</f>
        <v>1400000</v>
      </c>
      <c r="L64" s="74"/>
    </row>
    <row r="65" spans="3:13" ht="12.75" customHeight="1" x14ac:dyDescent="0.25">
      <c r="C65" s="81" t="s">
        <v>36</v>
      </c>
      <c r="D65" s="13" t="s">
        <v>116</v>
      </c>
      <c r="E65" s="14" t="s">
        <v>5</v>
      </c>
      <c r="F65" s="207"/>
      <c r="G65" s="77"/>
      <c r="H65" s="79">
        <f t="shared" ref="H65:H67" si="6">F65*G65</f>
        <v>0</v>
      </c>
      <c r="L65" s="74"/>
    </row>
    <row r="66" spans="3:13" ht="12.75" customHeight="1" x14ac:dyDescent="0.25">
      <c r="C66" s="81" t="s">
        <v>37</v>
      </c>
      <c r="D66" s="13" t="s">
        <v>125</v>
      </c>
      <c r="E66" s="14" t="s">
        <v>5</v>
      </c>
      <c r="F66" s="207"/>
      <c r="G66" s="77"/>
      <c r="H66" s="79">
        <f t="shared" si="6"/>
        <v>0</v>
      </c>
      <c r="L66" s="74"/>
      <c r="M66" s="74"/>
    </row>
    <row r="67" spans="3:13" ht="12.75" customHeight="1" x14ac:dyDescent="0.25">
      <c r="C67" s="81" t="s">
        <v>39</v>
      </c>
      <c r="D67" s="13" t="s">
        <v>126</v>
      </c>
      <c r="E67" s="14" t="s">
        <v>5</v>
      </c>
      <c r="F67" s="207"/>
      <c r="G67" s="77"/>
      <c r="H67" s="79">
        <f t="shared" si="6"/>
        <v>0</v>
      </c>
      <c r="L67" s="74"/>
    </row>
    <row r="68" spans="3:13" ht="12.75" customHeight="1" x14ac:dyDescent="0.25">
      <c r="C68" s="81"/>
      <c r="D68" s="13"/>
      <c r="E68" s="14"/>
      <c r="F68" s="207"/>
      <c r="G68" s="77"/>
      <c r="H68" s="79"/>
      <c r="L68" s="74"/>
    </row>
    <row r="69" spans="3:13" ht="12.75" customHeight="1" x14ac:dyDescent="0.25">
      <c r="C69" s="152"/>
      <c r="D69" s="153" t="s">
        <v>176</v>
      </c>
      <c r="E69" s="154"/>
      <c r="F69" s="155"/>
      <c r="G69" s="156"/>
      <c r="H69" s="157">
        <f>SUM(H64:H67)</f>
        <v>1400000</v>
      </c>
      <c r="L69" s="74"/>
    </row>
    <row r="70" spans="3:13" ht="12.75" customHeight="1" x14ac:dyDescent="0.25">
      <c r="C70" s="78"/>
      <c r="D70" s="76" t="s">
        <v>1</v>
      </c>
      <c r="E70" s="30"/>
      <c r="F70" s="197">
        <f>+H13</f>
        <v>0.05</v>
      </c>
      <c r="G70" s="77">
        <f>H69</f>
        <v>1400000</v>
      </c>
      <c r="H70" s="79">
        <f>G70*F70</f>
        <v>70000</v>
      </c>
      <c r="L70" s="74"/>
    </row>
    <row r="71" spans="3:13" ht="12.75" customHeight="1" x14ac:dyDescent="0.25">
      <c r="C71" s="152"/>
      <c r="D71" s="153" t="s">
        <v>175</v>
      </c>
      <c r="E71" s="154"/>
      <c r="F71" s="155"/>
      <c r="G71" s="156"/>
      <c r="H71" s="157">
        <f>SUM(H70)</f>
        <v>70000</v>
      </c>
      <c r="L71" s="74"/>
    </row>
    <row r="72" spans="3:13" ht="13.8" thickBot="1" x14ac:dyDescent="0.3">
      <c r="C72" s="80"/>
      <c r="D72" s="99" t="s">
        <v>196</v>
      </c>
      <c r="E72" s="41"/>
      <c r="F72" s="42"/>
      <c r="G72" s="82"/>
      <c r="H72" s="139">
        <f>H71+H69</f>
        <v>1470000</v>
      </c>
    </row>
    <row r="73" spans="3:13" ht="13.8" thickBot="1" x14ac:dyDescent="0.3">
      <c r="D73" s="72"/>
      <c r="E73" s="75"/>
      <c r="F73" s="75"/>
      <c r="G73" s="73"/>
    </row>
    <row r="74" spans="3:13" x14ac:dyDescent="0.25">
      <c r="C74" s="59">
        <v>4</v>
      </c>
      <c r="D74" s="63" t="s">
        <v>395</v>
      </c>
      <c r="E74" s="64" t="s">
        <v>3</v>
      </c>
      <c r="F74" s="65" t="s">
        <v>4</v>
      </c>
      <c r="G74" s="28" t="s">
        <v>199</v>
      </c>
      <c r="H74" s="66" t="s">
        <v>200</v>
      </c>
    </row>
    <row r="75" spans="3:13" x14ac:dyDescent="0.25">
      <c r="C75" s="81" t="s">
        <v>131</v>
      </c>
      <c r="D75" s="76" t="s">
        <v>178</v>
      </c>
      <c r="E75" s="30" t="s">
        <v>74</v>
      </c>
      <c r="F75" s="207">
        <v>500</v>
      </c>
      <c r="G75" s="77">
        <v>55</v>
      </c>
      <c r="H75" s="79">
        <f>G75*F75</f>
        <v>27500</v>
      </c>
    </row>
    <row r="76" spans="3:13" x14ac:dyDescent="0.25">
      <c r="C76" s="81" t="s">
        <v>132</v>
      </c>
      <c r="D76" s="76" t="s">
        <v>180</v>
      </c>
      <c r="E76" s="30" t="s">
        <v>74</v>
      </c>
      <c r="F76" s="207">
        <v>500</v>
      </c>
      <c r="G76" s="77">
        <v>40</v>
      </c>
      <c r="H76" s="79">
        <f t="shared" ref="H76" si="7">G76*F76</f>
        <v>20000</v>
      </c>
    </row>
    <row r="77" spans="3:13" x14ac:dyDescent="0.25">
      <c r="C77" s="81" t="s">
        <v>133</v>
      </c>
      <c r="D77" s="76" t="s">
        <v>355</v>
      </c>
      <c r="E77" s="6" t="s">
        <v>5</v>
      </c>
      <c r="F77" s="207">
        <v>2</v>
      </c>
      <c r="G77" s="77">
        <v>50000</v>
      </c>
      <c r="H77" s="79">
        <f>G77*F77</f>
        <v>100000</v>
      </c>
    </row>
    <row r="78" spans="3:13" x14ac:dyDescent="0.25">
      <c r="C78" s="152"/>
      <c r="D78" s="153" t="s">
        <v>397</v>
      </c>
      <c r="E78" s="154"/>
      <c r="F78" s="155"/>
      <c r="G78" s="156"/>
      <c r="H78" s="157">
        <f>SUM(H75:H77)</f>
        <v>147500</v>
      </c>
    </row>
    <row r="79" spans="3:13" x14ac:dyDescent="0.25">
      <c r="C79" s="78"/>
      <c r="D79" s="76" t="s">
        <v>1</v>
      </c>
      <c r="E79" s="30"/>
      <c r="F79" s="17">
        <v>0.05</v>
      </c>
      <c r="G79" s="40">
        <f>H78</f>
        <v>147500</v>
      </c>
      <c r="H79" s="18">
        <f>G79*F79</f>
        <v>7375</v>
      </c>
    </row>
    <row r="80" spans="3:13" x14ac:dyDescent="0.25">
      <c r="C80" s="152"/>
      <c r="D80" s="153" t="s">
        <v>400</v>
      </c>
      <c r="E80" s="154"/>
      <c r="F80" s="155"/>
      <c r="G80" s="156"/>
      <c r="H80" s="157">
        <f>SUM(H79)</f>
        <v>7375</v>
      </c>
    </row>
    <row r="81" spans="3:13" ht="13.8" thickBot="1" x14ac:dyDescent="0.3">
      <c r="C81" s="140"/>
      <c r="D81" s="99" t="s">
        <v>396</v>
      </c>
      <c r="E81" s="21"/>
      <c r="F81" s="141"/>
      <c r="G81" s="142"/>
      <c r="H81" s="139">
        <f>H80+H78</f>
        <v>154875</v>
      </c>
      <c r="I81" s="72"/>
      <c r="J81" s="75"/>
      <c r="K81" s="75"/>
      <c r="L81" s="73"/>
      <c r="M81" s="67"/>
    </row>
    <row r="82" spans="3:13" x14ac:dyDescent="0.25">
      <c r="C82" s="75"/>
      <c r="D82" s="75"/>
      <c r="E82" s="75"/>
      <c r="F82" s="75"/>
      <c r="G82" s="75"/>
      <c r="H82" s="75"/>
      <c r="I82" s="72"/>
      <c r="J82" s="75"/>
      <c r="K82" s="75"/>
      <c r="L82" s="73"/>
      <c r="M82" s="67"/>
    </row>
    <row r="83" spans="3:13" ht="13.8" thickBot="1" x14ac:dyDescent="0.3">
      <c r="C83" s="75"/>
      <c r="D83" s="75"/>
      <c r="E83" s="75"/>
      <c r="F83" s="75"/>
      <c r="G83" s="75"/>
      <c r="H83" s="75"/>
      <c r="I83" s="72"/>
      <c r="J83" s="75"/>
      <c r="K83" s="75"/>
      <c r="L83" s="73"/>
      <c r="M83" s="67"/>
    </row>
    <row r="84" spans="3:13" x14ac:dyDescent="0.25">
      <c r="C84" s="291" t="s">
        <v>269</v>
      </c>
      <c r="D84" s="292"/>
      <c r="E84" s="292"/>
      <c r="F84" s="292"/>
      <c r="G84" s="292"/>
      <c r="H84" s="293"/>
    </row>
    <row r="85" spans="3:13" ht="15" hidden="1" customHeight="1" x14ac:dyDescent="0.25">
      <c r="C85" s="90"/>
      <c r="D85" s="83" t="s">
        <v>189</v>
      </c>
      <c r="E85" s="88"/>
      <c r="F85" s="89"/>
      <c r="G85" s="84"/>
      <c r="H85" s="96">
        <f>SUM(F17:F30)</f>
        <v>47</v>
      </c>
    </row>
    <row r="86" spans="3:13" x14ac:dyDescent="0.25">
      <c r="C86" s="90"/>
      <c r="D86" s="85" t="s">
        <v>231</v>
      </c>
      <c r="E86" s="83"/>
      <c r="F86" s="86"/>
      <c r="G86" s="87"/>
      <c r="H86" s="91">
        <f>H32+H58+H69+H78</f>
        <v>6417500</v>
      </c>
    </row>
    <row r="87" spans="3:13" x14ac:dyDescent="0.25">
      <c r="C87" s="94"/>
      <c r="D87" s="85" t="s">
        <v>232</v>
      </c>
      <c r="E87" s="83"/>
      <c r="F87" s="86"/>
      <c r="G87" s="87"/>
      <c r="H87" s="91">
        <f>H34+H60+H71+H80</f>
        <v>320875</v>
      </c>
    </row>
    <row r="88" spans="3:13" x14ac:dyDescent="0.25">
      <c r="C88" s="94"/>
      <c r="D88" s="85" t="s">
        <v>233</v>
      </c>
      <c r="E88" s="83"/>
      <c r="F88" s="86"/>
      <c r="G88" s="87"/>
      <c r="H88" s="91">
        <f>SUM(H86:H87)</f>
        <v>6738375</v>
      </c>
      <c r="K88" s="186">
        <f>+(H88+'Costos siembra nueva'!H86)/0.7-(H88+'Costos siembra nueva'!H86)</f>
        <v>3758805</v>
      </c>
    </row>
    <row r="89" spans="3:13" ht="14.4" thickBot="1" x14ac:dyDescent="0.3">
      <c r="C89" s="92"/>
      <c r="D89" s="97" t="s">
        <v>257</v>
      </c>
      <c r="E89" s="93"/>
      <c r="F89" s="93"/>
      <c r="G89" s="93"/>
      <c r="H89" s="144">
        <f>IFERROR(H88/E14/1000,0)</f>
        <v>79.275000000000006</v>
      </c>
    </row>
    <row r="93" spans="3:13" x14ac:dyDescent="0.25">
      <c r="J93" s="225"/>
    </row>
    <row r="94" spans="3:13" x14ac:dyDescent="0.25">
      <c r="J94" s="224"/>
    </row>
  </sheetData>
  <mergeCells count="13">
    <mergeCell ref="C84:H84"/>
    <mergeCell ref="C3:H3"/>
    <mergeCell ref="C4:H4"/>
    <mergeCell ref="E7:F7"/>
    <mergeCell ref="E8:F8"/>
    <mergeCell ref="E9:F9"/>
    <mergeCell ref="E10:F10"/>
    <mergeCell ref="E11:F11"/>
    <mergeCell ref="E13:F13"/>
    <mergeCell ref="E14:F14"/>
    <mergeCell ref="D6:F6"/>
    <mergeCell ref="E12:F12"/>
    <mergeCell ref="H9:H12"/>
  </mergeCells>
  <phoneticPr fontId="18" type="noConversion"/>
  <printOptions horizontalCentered="1" verticalCentered="1"/>
  <pageMargins left="0" right="0" top="0" bottom="0" header="0.31496062992125984" footer="0.31496062992125984"/>
  <pageSetup scale="35" orientation="portrait" r:id="rId1"/>
  <headerFooter>
    <oddHeader>&amp;C&amp;"Arial,Negrita"
&amp;F</oddHeader>
    <oddFooter>&amp;CFederación Nacional de productores de panela - Fedepanela
Programa Comercial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</sheetPr>
  <dimension ref="A1:DM66"/>
  <sheetViews>
    <sheetView showGridLines="0" view="pageBreakPreview" topLeftCell="A44" zoomScale="110" zoomScaleNormal="25" zoomScaleSheetLayoutView="110" workbookViewId="0">
      <selection activeCell="H73" sqref="H73"/>
    </sheetView>
  </sheetViews>
  <sheetFormatPr baseColWidth="10" defaultColWidth="11.44140625" defaultRowHeight="14.4" x14ac:dyDescent="0.3"/>
  <cols>
    <col min="1" max="1" width="2.109375" style="4" customWidth="1"/>
    <col min="2" max="2" width="2.109375" style="5" customWidth="1"/>
    <col min="3" max="3" width="5.109375" style="100" customWidth="1"/>
    <col min="4" max="4" width="36" style="100" customWidth="1"/>
    <col min="5" max="5" width="8.88671875" style="100" customWidth="1"/>
    <col min="6" max="7" width="15.33203125" style="100" customWidth="1"/>
    <col min="8" max="8" width="18.33203125" style="100" customWidth="1"/>
    <col min="9" max="9" width="1.88671875" style="100" customWidth="1"/>
    <col min="10" max="10" width="5.109375" style="100" hidden="1" customWidth="1"/>
    <col min="11" max="11" width="36" style="100" hidden="1" customWidth="1"/>
    <col min="12" max="12" width="8.88671875" style="100" hidden="1" customWidth="1"/>
    <col min="13" max="15" width="15.33203125" style="100" hidden="1" customWidth="1"/>
    <col min="16" max="16" width="2.88671875" style="100" hidden="1" customWidth="1"/>
    <col min="17" max="16384" width="11.44140625" style="100"/>
  </cols>
  <sheetData>
    <row r="1" spans="1:117" ht="15" thickBot="1" x14ac:dyDescent="0.35"/>
    <row r="2" spans="1:117" ht="16.2" thickBot="1" x14ac:dyDescent="0.35">
      <c r="C2" s="341" t="s">
        <v>227</v>
      </c>
      <c r="D2" s="342"/>
      <c r="E2" s="342"/>
      <c r="F2" s="342"/>
      <c r="G2" s="342"/>
      <c r="H2" s="343"/>
      <c r="J2" s="341" t="s">
        <v>227</v>
      </c>
      <c r="K2" s="342"/>
      <c r="L2" s="342"/>
      <c r="M2" s="342"/>
      <c r="N2" s="342"/>
      <c r="O2" s="343"/>
    </row>
    <row r="3" spans="1:117" ht="15" thickBot="1" x14ac:dyDescent="0.35">
      <c r="B3" s="68"/>
    </row>
    <row r="4" spans="1:117" ht="12.75" customHeight="1" thickBot="1" x14ac:dyDescent="0.35">
      <c r="D4" s="313" t="s">
        <v>275</v>
      </c>
      <c r="E4" s="314"/>
      <c r="F4" s="314"/>
      <c r="G4" s="324"/>
    </row>
    <row r="5" spans="1:117" s="148" customFormat="1" ht="12.75" customHeight="1" x14ac:dyDescent="0.3">
      <c r="A5" s="4"/>
      <c r="B5" s="5"/>
      <c r="C5" s="150"/>
      <c r="D5" s="327" t="s">
        <v>263</v>
      </c>
      <c r="E5" s="328"/>
      <c r="F5" s="351" t="str">
        <f>'Costos siembra nueva'!E6</f>
        <v>enero de 2025</v>
      </c>
      <c r="G5" s="352"/>
      <c r="H5" s="100"/>
      <c r="I5" s="100"/>
      <c r="J5" s="100"/>
      <c r="K5" s="4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</row>
    <row r="6" spans="1:117" s="148" customFormat="1" ht="12.75" customHeight="1" x14ac:dyDescent="0.3">
      <c r="A6" s="164"/>
      <c r="B6" s="4"/>
      <c r="C6" s="150"/>
      <c r="D6" s="329" t="s">
        <v>264</v>
      </c>
      <c r="E6" s="330"/>
      <c r="F6" s="325" t="str">
        <f>'Costos siembra nueva'!E7</f>
        <v>Cundinamarca</v>
      </c>
      <c r="G6" s="326"/>
      <c r="H6" s="100"/>
      <c r="I6" s="100"/>
      <c r="J6" s="100"/>
      <c r="K6" s="4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</row>
    <row r="7" spans="1:117" s="148" customFormat="1" ht="12.75" customHeight="1" x14ac:dyDescent="0.3">
      <c r="B7" s="151"/>
      <c r="C7" s="150"/>
      <c r="D7" s="329" t="s">
        <v>265</v>
      </c>
      <c r="E7" s="330"/>
      <c r="F7" s="325" t="str">
        <f>'Costos siembra nueva'!E8</f>
        <v>Utica</v>
      </c>
      <c r="G7" s="326"/>
      <c r="H7" s="100"/>
      <c r="I7" s="100"/>
      <c r="J7" s="100"/>
      <c r="K7" s="4"/>
      <c r="L7" s="147" t="s">
        <v>262</v>
      </c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</row>
    <row r="8" spans="1:117" s="148" customFormat="1" ht="12.75" customHeight="1" thickBot="1" x14ac:dyDescent="0.35">
      <c r="B8" s="151"/>
      <c r="C8" s="150"/>
      <c r="D8" s="329" t="s">
        <v>266</v>
      </c>
      <c r="E8" s="330"/>
      <c r="F8" s="325" t="str">
        <f>'Costos siembra nueva'!E9</f>
        <v>La Abuelita</v>
      </c>
      <c r="G8" s="326"/>
      <c r="H8" s="100"/>
      <c r="I8" s="100"/>
      <c r="J8" s="100"/>
      <c r="K8" s="4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</row>
    <row r="9" spans="1:117" s="148" customFormat="1" ht="12.75" customHeight="1" x14ac:dyDescent="0.3">
      <c r="B9" s="151"/>
      <c r="C9" s="150"/>
      <c r="D9" s="329" t="s">
        <v>267</v>
      </c>
      <c r="E9" s="330"/>
      <c r="F9" s="325">
        <f>'Costos siembra nueva'!E10</f>
        <v>0</v>
      </c>
      <c r="G9" s="326"/>
      <c r="H9" s="305" t="s">
        <v>1</v>
      </c>
      <c r="I9" s="100"/>
      <c r="J9" s="100"/>
      <c r="K9" s="4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</row>
    <row r="10" spans="1:117" s="148" customFormat="1" ht="12.75" customHeight="1" x14ac:dyDescent="0.25">
      <c r="B10" s="151"/>
      <c r="C10"/>
      <c r="D10" s="329" t="s">
        <v>276</v>
      </c>
      <c r="E10" s="330"/>
      <c r="F10" s="325">
        <f>'Costos siembra nueva'!E11</f>
        <v>0</v>
      </c>
      <c r="G10" s="326"/>
      <c r="H10" s="306"/>
      <c r="I10" s="4"/>
      <c r="J10" s="4"/>
      <c r="K10" s="4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</row>
    <row r="11" spans="1:117" s="148" customFormat="1" ht="12.75" customHeight="1" x14ac:dyDescent="0.25">
      <c r="B11" s="151"/>
      <c r="C11" s="150"/>
      <c r="D11" s="329" t="s">
        <v>268</v>
      </c>
      <c r="E11" s="330"/>
      <c r="F11" s="325" t="str">
        <f>'Costos siembra nueva'!E12</f>
        <v>Crisantos Bustos</v>
      </c>
      <c r="G11" s="326"/>
      <c r="H11" s="306"/>
      <c r="I11" s="4"/>
      <c r="J11" s="4"/>
      <c r="K11" s="4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</row>
    <row r="12" spans="1:117" s="148" customFormat="1" ht="12.75" customHeight="1" x14ac:dyDescent="0.3">
      <c r="A12" s="150"/>
      <c r="B12" s="4"/>
      <c r="C12" s="150"/>
      <c r="D12" s="347" t="s">
        <v>394</v>
      </c>
      <c r="E12" s="348"/>
      <c r="F12" s="333">
        <v>90</v>
      </c>
      <c r="G12" s="334"/>
      <c r="H12" s="306"/>
      <c r="I12" s="4"/>
      <c r="J12" s="4"/>
      <c r="K12" s="4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</row>
    <row r="13" spans="1:117" s="147" customFormat="1" ht="12.75" customHeight="1" thickBot="1" x14ac:dyDescent="0.35">
      <c r="A13" s="148"/>
      <c r="B13" s="151"/>
      <c r="C13" s="150"/>
      <c r="D13" s="331" t="s">
        <v>297</v>
      </c>
      <c r="E13" s="332"/>
      <c r="F13" s="333" t="s">
        <v>356</v>
      </c>
      <c r="G13" s="334"/>
      <c r="H13" s="208">
        <f>+'Mantenimiento de cultivo'!H13</f>
        <v>0.05</v>
      </c>
      <c r="I13" s="4"/>
      <c r="J13" s="4"/>
      <c r="K13" s="222"/>
    </row>
    <row r="14" spans="1:117" s="147" customFormat="1" ht="12.75" customHeight="1" thickBot="1" x14ac:dyDescent="0.35">
      <c r="A14" s="150"/>
      <c r="B14" s="150"/>
      <c r="C14" s="150"/>
      <c r="D14" s="349" t="s">
        <v>274</v>
      </c>
      <c r="E14" s="350"/>
      <c r="F14" s="316">
        <v>2</v>
      </c>
      <c r="G14" s="317"/>
      <c r="H14" s="4"/>
      <c r="I14" s="4"/>
      <c r="J14" s="4"/>
      <c r="K14" s="4"/>
    </row>
    <row r="15" spans="1:117" s="147" customFormat="1" ht="12.75" customHeight="1" thickBot="1" x14ac:dyDescent="0.3">
      <c r="A15" s="4"/>
      <c r="B15" s="5"/>
      <c r="C15" s="150"/>
      <c r="D15" s="158"/>
      <c r="F15" s="4"/>
      <c r="G15" s="4"/>
      <c r="H15" s="4"/>
      <c r="I15" s="4"/>
      <c r="J15" s="4"/>
      <c r="K15" s="4"/>
    </row>
    <row r="16" spans="1:117" ht="12.75" customHeight="1" x14ac:dyDescent="0.3">
      <c r="C16" s="318" t="s">
        <v>226</v>
      </c>
      <c r="D16" s="319"/>
      <c r="E16" s="319"/>
      <c r="F16" s="319"/>
      <c r="G16" s="319"/>
      <c r="H16" s="320"/>
      <c r="J16" s="318" t="s">
        <v>225</v>
      </c>
      <c r="K16" s="319"/>
      <c r="L16" s="319"/>
      <c r="M16" s="319"/>
      <c r="N16" s="319"/>
      <c r="O16" s="320"/>
    </row>
    <row r="17" spans="3:15" ht="12.75" customHeight="1" thickBot="1" x14ac:dyDescent="0.35">
      <c r="C17" s="321"/>
      <c r="D17" s="322"/>
      <c r="E17" s="322"/>
      <c r="F17" s="322"/>
      <c r="G17" s="322"/>
      <c r="H17" s="323"/>
      <c r="J17" s="321"/>
      <c r="K17" s="322"/>
      <c r="L17" s="322"/>
      <c r="M17" s="322"/>
      <c r="N17" s="322"/>
      <c r="O17" s="323"/>
    </row>
    <row r="18" spans="3:15" ht="15" thickBot="1" x14ac:dyDescent="0.35"/>
    <row r="19" spans="3:15" x14ac:dyDescent="0.3">
      <c r="C19" s="132">
        <v>1</v>
      </c>
      <c r="D19" s="131" t="s">
        <v>11</v>
      </c>
      <c r="E19" s="130" t="s">
        <v>3</v>
      </c>
      <c r="F19" s="129" t="s">
        <v>4</v>
      </c>
      <c r="G19" s="128" t="s">
        <v>199</v>
      </c>
      <c r="H19" s="127" t="s">
        <v>200</v>
      </c>
      <c r="J19" s="132">
        <v>1</v>
      </c>
      <c r="K19" s="131" t="s">
        <v>11</v>
      </c>
      <c r="L19" s="130" t="s">
        <v>3</v>
      </c>
      <c r="M19" s="129" t="s">
        <v>4</v>
      </c>
      <c r="N19" s="128" t="s">
        <v>199</v>
      </c>
      <c r="O19" s="127" t="s">
        <v>200</v>
      </c>
    </row>
    <row r="20" spans="3:15" x14ac:dyDescent="0.3">
      <c r="C20" s="126" t="s">
        <v>13</v>
      </c>
      <c r="D20" s="124" t="s">
        <v>357</v>
      </c>
      <c r="E20" s="123" t="s">
        <v>12</v>
      </c>
      <c r="F20" s="207">
        <v>38</v>
      </c>
      <c r="G20" s="77">
        <v>80000</v>
      </c>
      <c r="H20" s="79">
        <f t="shared" ref="H20:H28" si="0">G20*F20</f>
        <v>3040000</v>
      </c>
      <c r="J20" s="126" t="s">
        <v>13</v>
      </c>
      <c r="K20" s="124" t="s">
        <v>224</v>
      </c>
      <c r="L20" s="123" t="s">
        <v>12</v>
      </c>
      <c r="M20" s="207"/>
      <c r="N20" s="77"/>
      <c r="O20" s="79">
        <f t="shared" ref="O20:O28" si="1">N20*M20</f>
        <v>0</v>
      </c>
    </row>
    <row r="21" spans="3:15" x14ac:dyDescent="0.3">
      <c r="C21" s="126" t="s">
        <v>14</v>
      </c>
      <c r="D21" s="124" t="s">
        <v>358</v>
      </c>
      <c r="E21" s="123" t="s">
        <v>12</v>
      </c>
      <c r="F21" s="207">
        <v>30</v>
      </c>
      <c r="G21" s="77">
        <v>80000</v>
      </c>
      <c r="H21" s="79">
        <f t="shared" si="0"/>
        <v>2400000</v>
      </c>
      <c r="J21" s="126" t="s">
        <v>14</v>
      </c>
      <c r="K21" s="124" t="s">
        <v>223</v>
      </c>
      <c r="L21" s="123" t="s">
        <v>12</v>
      </c>
      <c r="M21" s="207"/>
      <c r="N21" s="77"/>
      <c r="O21" s="79">
        <f t="shared" si="1"/>
        <v>0</v>
      </c>
    </row>
    <row r="22" spans="3:15" x14ac:dyDescent="0.3">
      <c r="C22" s="126" t="s">
        <v>16</v>
      </c>
      <c r="D22" s="124" t="s">
        <v>359</v>
      </c>
      <c r="E22" s="123" t="s">
        <v>12</v>
      </c>
      <c r="F22" s="207">
        <v>16</v>
      </c>
      <c r="G22" s="77">
        <v>80000</v>
      </c>
      <c r="H22" s="79">
        <f t="shared" si="0"/>
        <v>1280000</v>
      </c>
      <c r="J22" s="126" t="s">
        <v>16</v>
      </c>
      <c r="K22" s="124" t="s">
        <v>222</v>
      </c>
      <c r="L22" s="123" t="s">
        <v>12</v>
      </c>
      <c r="M22" s="207"/>
      <c r="N22" s="77"/>
      <c r="O22" s="79">
        <f t="shared" si="1"/>
        <v>0</v>
      </c>
    </row>
    <row r="23" spans="3:15" x14ac:dyDescent="0.3">
      <c r="C23" s="126" t="s">
        <v>17</v>
      </c>
      <c r="D23" s="124"/>
      <c r="E23" s="123"/>
      <c r="F23" s="207"/>
      <c r="G23" s="77"/>
      <c r="H23" s="79">
        <f t="shared" si="0"/>
        <v>0</v>
      </c>
      <c r="J23" s="126" t="s">
        <v>17</v>
      </c>
      <c r="K23" s="124" t="s">
        <v>221</v>
      </c>
      <c r="L23" s="123" t="s">
        <v>12</v>
      </c>
      <c r="M23" s="207"/>
      <c r="N23" s="77"/>
      <c r="O23" s="79">
        <f t="shared" si="1"/>
        <v>0</v>
      </c>
    </row>
    <row r="24" spans="3:15" x14ac:dyDescent="0.3">
      <c r="C24" s="126" t="s">
        <v>19</v>
      </c>
      <c r="D24" s="124"/>
      <c r="E24" s="123"/>
      <c r="F24" s="207"/>
      <c r="G24" s="77"/>
      <c r="H24" s="79">
        <f t="shared" si="0"/>
        <v>0</v>
      </c>
      <c r="J24" s="126" t="s">
        <v>19</v>
      </c>
      <c r="K24" s="124" t="s">
        <v>220</v>
      </c>
      <c r="L24" s="123" t="s">
        <v>12</v>
      </c>
      <c r="M24" s="207"/>
      <c r="N24" s="77"/>
      <c r="O24" s="79">
        <f t="shared" si="1"/>
        <v>0</v>
      </c>
    </row>
    <row r="25" spans="3:15" x14ac:dyDescent="0.3">
      <c r="C25" s="126" t="s">
        <v>20</v>
      </c>
      <c r="D25" s="124"/>
      <c r="E25" s="123"/>
      <c r="F25" s="207"/>
      <c r="G25" s="77"/>
      <c r="H25" s="79">
        <f t="shared" si="0"/>
        <v>0</v>
      </c>
      <c r="J25" s="126" t="s">
        <v>20</v>
      </c>
      <c r="K25" s="124"/>
      <c r="L25" s="123"/>
      <c r="M25" s="207"/>
      <c r="N25" s="77"/>
      <c r="O25" s="79">
        <f t="shared" si="1"/>
        <v>0</v>
      </c>
    </row>
    <row r="26" spans="3:15" x14ac:dyDescent="0.3">
      <c r="C26" s="126" t="s">
        <v>21</v>
      </c>
      <c r="D26" s="124"/>
      <c r="E26" s="123"/>
      <c r="F26" s="207"/>
      <c r="G26" s="77"/>
      <c r="H26" s="79">
        <f t="shared" si="0"/>
        <v>0</v>
      </c>
      <c r="J26" s="126" t="s">
        <v>21</v>
      </c>
      <c r="K26" s="124"/>
      <c r="L26" s="123"/>
      <c r="M26" s="207"/>
      <c r="N26" s="77"/>
      <c r="O26" s="79">
        <f t="shared" si="1"/>
        <v>0</v>
      </c>
    </row>
    <row r="27" spans="3:15" x14ac:dyDescent="0.3">
      <c r="C27" s="126" t="s">
        <v>72</v>
      </c>
      <c r="D27" s="124"/>
      <c r="E27" s="123"/>
      <c r="F27" s="207"/>
      <c r="G27" s="77"/>
      <c r="H27" s="79">
        <f t="shared" si="0"/>
        <v>0</v>
      </c>
      <c r="J27" s="126" t="s">
        <v>72</v>
      </c>
      <c r="K27" s="124"/>
      <c r="L27" s="123"/>
      <c r="M27" s="207"/>
      <c r="N27" s="77"/>
      <c r="O27" s="79">
        <f t="shared" si="1"/>
        <v>0</v>
      </c>
    </row>
    <row r="28" spans="3:15" x14ac:dyDescent="0.3">
      <c r="C28" s="126" t="s">
        <v>52</v>
      </c>
      <c r="D28" s="124" t="s">
        <v>215</v>
      </c>
      <c r="E28" s="123" t="s">
        <v>5</v>
      </c>
      <c r="F28" s="207"/>
      <c r="G28" s="77"/>
      <c r="H28" s="79">
        <f t="shared" si="0"/>
        <v>0</v>
      </c>
      <c r="J28" s="126" t="s">
        <v>52</v>
      </c>
      <c r="K28" s="124" t="s">
        <v>215</v>
      </c>
      <c r="L28" s="123" t="s">
        <v>5</v>
      </c>
      <c r="M28" s="207"/>
      <c r="N28" s="77"/>
      <c r="O28" s="79">
        <f t="shared" si="1"/>
        <v>0</v>
      </c>
    </row>
    <row r="29" spans="3:15" x14ac:dyDescent="0.3">
      <c r="C29" s="152"/>
      <c r="D29" s="153" t="s">
        <v>219</v>
      </c>
      <c r="E29" s="154"/>
      <c r="F29" s="155"/>
      <c r="G29" s="156"/>
      <c r="H29" s="157">
        <f>SUM(H20:H28)</f>
        <v>6720000</v>
      </c>
      <c r="J29" s="152"/>
      <c r="K29" s="153" t="s">
        <v>219</v>
      </c>
      <c r="L29" s="154"/>
      <c r="M29" s="155"/>
      <c r="N29" s="156"/>
      <c r="O29" s="157">
        <f>SUM(O20:O28)</f>
        <v>0</v>
      </c>
    </row>
    <row r="30" spans="3:15" x14ac:dyDescent="0.3">
      <c r="C30" s="78"/>
      <c r="D30" s="76" t="s">
        <v>1</v>
      </c>
      <c r="E30" s="30"/>
      <c r="F30" s="17">
        <f>+H13</f>
        <v>0.05</v>
      </c>
      <c r="G30" s="40">
        <f>H29</f>
        <v>6720000</v>
      </c>
      <c r="H30" s="18">
        <f>G30*F30</f>
        <v>336000</v>
      </c>
      <c r="J30" s="78"/>
      <c r="K30" s="76" t="s">
        <v>1</v>
      </c>
      <c r="L30" s="30"/>
      <c r="M30" s="189">
        <f>H13</f>
        <v>0.05</v>
      </c>
      <c r="N30" s="40">
        <f>O29</f>
        <v>0</v>
      </c>
      <c r="O30" s="18">
        <f>N30*M30</f>
        <v>0</v>
      </c>
    </row>
    <row r="31" spans="3:15" x14ac:dyDescent="0.3">
      <c r="C31" s="152"/>
      <c r="D31" s="153" t="s">
        <v>218</v>
      </c>
      <c r="E31" s="154"/>
      <c r="F31" s="155"/>
      <c r="G31" s="156"/>
      <c r="H31" s="157">
        <f>SUM(H30)</f>
        <v>336000</v>
      </c>
      <c r="J31" s="152"/>
      <c r="K31" s="153" t="s">
        <v>218</v>
      </c>
      <c r="L31" s="154"/>
      <c r="M31" s="155"/>
      <c r="N31" s="156"/>
      <c r="O31" s="157">
        <f>SUM(O30)</f>
        <v>0</v>
      </c>
    </row>
    <row r="32" spans="3:15" ht="15" thickBot="1" x14ac:dyDescent="0.35">
      <c r="C32" s="122"/>
      <c r="D32" s="121" t="s">
        <v>244</v>
      </c>
      <c r="E32" s="120"/>
      <c r="F32" s="119"/>
      <c r="G32" s="118"/>
      <c r="H32" s="117">
        <f>H29+H31</f>
        <v>7056000</v>
      </c>
      <c r="J32" s="122"/>
      <c r="K32" s="121" t="s">
        <v>244</v>
      </c>
      <c r="L32" s="120"/>
      <c r="M32" s="119"/>
      <c r="N32" s="118"/>
      <c r="O32" s="117">
        <f>O29+O31</f>
        <v>0</v>
      </c>
    </row>
    <row r="33" spans="3:15" ht="15" thickBot="1" x14ac:dyDescent="0.35"/>
    <row r="34" spans="3:15" x14ac:dyDescent="0.3">
      <c r="C34" s="132">
        <v>2</v>
      </c>
      <c r="D34" s="131" t="s">
        <v>173</v>
      </c>
      <c r="E34" s="130" t="s">
        <v>3</v>
      </c>
      <c r="F34" s="129" t="s">
        <v>4</v>
      </c>
      <c r="G34" s="128" t="s">
        <v>199</v>
      </c>
      <c r="H34" s="127" t="s">
        <v>200</v>
      </c>
      <c r="J34" s="132">
        <v>2</v>
      </c>
      <c r="K34" s="131" t="s">
        <v>173</v>
      </c>
      <c r="L34" s="130" t="s">
        <v>3</v>
      </c>
      <c r="M34" s="129" t="s">
        <v>4</v>
      </c>
      <c r="N34" s="128" t="s">
        <v>199</v>
      </c>
      <c r="O34" s="127" t="s">
        <v>200</v>
      </c>
    </row>
    <row r="35" spans="3:15" x14ac:dyDescent="0.3">
      <c r="C35" s="126" t="s">
        <v>56</v>
      </c>
      <c r="D35" s="279" t="s">
        <v>217</v>
      </c>
      <c r="E35" s="123" t="s">
        <v>5</v>
      </c>
      <c r="F35" s="207">
        <v>1</v>
      </c>
      <c r="G35" s="77">
        <v>95000</v>
      </c>
      <c r="H35" s="79">
        <f>G35*F35</f>
        <v>95000</v>
      </c>
      <c r="J35" s="126" t="s">
        <v>56</v>
      </c>
      <c r="K35" s="125" t="s">
        <v>217</v>
      </c>
      <c r="L35" s="123" t="s">
        <v>5</v>
      </c>
      <c r="M35" s="207"/>
      <c r="N35" s="77"/>
      <c r="O35" s="79">
        <f>N35*M35</f>
        <v>0</v>
      </c>
    </row>
    <row r="36" spans="3:15" x14ac:dyDescent="0.3">
      <c r="C36" s="126" t="s">
        <v>57</v>
      </c>
      <c r="D36" s="279" t="s">
        <v>216</v>
      </c>
      <c r="E36" s="123" t="s">
        <v>5</v>
      </c>
      <c r="F36" s="207">
        <v>1</v>
      </c>
      <c r="G36" s="77">
        <v>220000</v>
      </c>
      <c r="H36" s="79">
        <f>G36*F36</f>
        <v>220000</v>
      </c>
      <c r="J36" s="126" t="s">
        <v>57</v>
      </c>
      <c r="K36" s="125" t="s">
        <v>216</v>
      </c>
      <c r="L36" s="123" t="s">
        <v>5</v>
      </c>
      <c r="M36" s="207"/>
      <c r="N36" s="77"/>
      <c r="O36" s="79">
        <f>N36*M36</f>
        <v>0</v>
      </c>
    </row>
    <row r="37" spans="3:15" x14ac:dyDescent="0.3">
      <c r="C37" s="126" t="s">
        <v>27</v>
      </c>
      <c r="D37" s="125"/>
      <c r="E37" s="123"/>
      <c r="F37" s="207"/>
      <c r="G37" s="77"/>
      <c r="H37" s="79">
        <f t="shared" ref="H37:H39" si="2">G37*F37</f>
        <v>0</v>
      </c>
      <c r="J37" s="126" t="s">
        <v>27</v>
      </c>
      <c r="K37" s="125"/>
      <c r="L37" s="123"/>
      <c r="M37" s="207"/>
      <c r="N37" s="77"/>
      <c r="O37" s="79">
        <f t="shared" ref="O37:O39" si="3">N37*M37</f>
        <v>0</v>
      </c>
    </row>
    <row r="38" spans="3:15" x14ac:dyDescent="0.3">
      <c r="C38" s="126" t="s">
        <v>58</v>
      </c>
      <c r="D38" s="125"/>
      <c r="E38" s="123"/>
      <c r="F38" s="207"/>
      <c r="G38" s="77"/>
      <c r="H38" s="79">
        <f t="shared" si="2"/>
        <v>0</v>
      </c>
      <c r="J38" s="126" t="s">
        <v>58</v>
      </c>
      <c r="K38" s="125"/>
      <c r="L38" s="123"/>
      <c r="M38" s="207"/>
      <c r="N38" s="77"/>
      <c r="O38" s="79">
        <f t="shared" si="3"/>
        <v>0</v>
      </c>
    </row>
    <row r="39" spans="3:15" x14ac:dyDescent="0.3">
      <c r="C39" s="126" t="s">
        <v>59</v>
      </c>
      <c r="D39" s="124"/>
      <c r="E39" s="123"/>
      <c r="F39" s="207"/>
      <c r="G39" s="77"/>
      <c r="H39" s="79">
        <f t="shared" si="2"/>
        <v>0</v>
      </c>
      <c r="J39" s="126" t="s">
        <v>59</v>
      </c>
      <c r="K39" s="124" t="s">
        <v>215</v>
      </c>
      <c r="L39" s="123" t="s">
        <v>5</v>
      </c>
      <c r="M39" s="207"/>
      <c r="N39" s="77"/>
      <c r="O39" s="79">
        <f t="shared" si="3"/>
        <v>0</v>
      </c>
    </row>
    <row r="40" spans="3:15" x14ac:dyDescent="0.3">
      <c r="C40" s="152"/>
      <c r="D40" s="153" t="s">
        <v>214</v>
      </c>
      <c r="E40" s="154"/>
      <c r="F40" s="155"/>
      <c r="G40" s="156"/>
      <c r="H40" s="157">
        <f>SUM(H35:H39)</f>
        <v>315000</v>
      </c>
      <c r="J40" s="152"/>
      <c r="K40" s="153" t="s">
        <v>214</v>
      </c>
      <c r="L40" s="154"/>
      <c r="M40" s="155"/>
      <c r="N40" s="156"/>
      <c r="O40" s="157">
        <f>SUM(O35:O39)</f>
        <v>0</v>
      </c>
    </row>
    <row r="41" spans="3:15" x14ac:dyDescent="0.3">
      <c r="C41" s="78"/>
      <c r="D41" s="76" t="s">
        <v>1</v>
      </c>
      <c r="E41" s="30"/>
      <c r="F41" s="17">
        <f>H13</f>
        <v>0.05</v>
      </c>
      <c r="G41" s="40">
        <f>H40</f>
        <v>315000</v>
      </c>
      <c r="H41" s="18">
        <f>G41*F41</f>
        <v>15750</v>
      </c>
      <c r="J41" s="78"/>
      <c r="K41" s="76" t="s">
        <v>1</v>
      </c>
      <c r="L41" s="30"/>
      <c r="M41" s="189">
        <f>H13</f>
        <v>0.05</v>
      </c>
      <c r="N41" s="40">
        <f>O40</f>
        <v>0</v>
      </c>
      <c r="O41" s="18">
        <f>N41*M41</f>
        <v>0</v>
      </c>
    </row>
    <row r="42" spans="3:15" x14ac:dyDescent="0.3">
      <c r="C42" s="152"/>
      <c r="D42" s="153" t="s">
        <v>213</v>
      </c>
      <c r="E42" s="154"/>
      <c r="F42" s="155"/>
      <c r="G42" s="156"/>
      <c r="H42" s="157">
        <f>SUM(H41)</f>
        <v>15750</v>
      </c>
      <c r="J42" s="152"/>
      <c r="K42" s="153" t="s">
        <v>213</v>
      </c>
      <c r="L42" s="154"/>
      <c r="M42" s="155"/>
      <c r="N42" s="156"/>
      <c r="O42" s="157">
        <f>SUM(O41)</f>
        <v>0</v>
      </c>
    </row>
    <row r="43" spans="3:15" ht="15" thickBot="1" x14ac:dyDescent="0.35">
      <c r="C43" s="122"/>
      <c r="D43" s="121" t="s">
        <v>245</v>
      </c>
      <c r="E43" s="120"/>
      <c r="F43" s="119"/>
      <c r="G43" s="118"/>
      <c r="H43" s="117">
        <f>H40+H42</f>
        <v>330750</v>
      </c>
      <c r="J43" s="122"/>
      <c r="K43" s="121" t="s">
        <v>245</v>
      </c>
      <c r="L43" s="120"/>
      <c r="M43" s="119"/>
      <c r="N43" s="118"/>
      <c r="O43" s="117">
        <f>O40+O42</f>
        <v>0</v>
      </c>
    </row>
    <row r="44" spans="3:15" ht="15" thickBot="1" x14ac:dyDescent="0.35"/>
    <row r="45" spans="3:15" x14ac:dyDescent="0.3">
      <c r="C45" s="132">
        <v>3</v>
      </c>
      <c r="D45" s="131" t="s">
        <v>177</v>
      </c>
      <c r="E45" s="130" t="s">
        <v>3</v>
      </c>
      <c r="F45" s="129" t="s">
        <v>4</v>
      </c>
      <c r="G45" s="128" t="s">
        <v>199</v>
      </c>
      <c r="H45" s="127" t="s">
        <v>200</v>
      </c>
      <c r="J45" s="132">
        <v>3</v>
      </c>
      <c r="K45" s="131" t="s">
        <v>177</v>
      </c>
      <c r="L45" s="130" t="s">
        <v>3</v>
      </c>
      <c r="M45" s="129" t="s">
        <v>4</v>
      </c>
      <c r="N45" s="128" t="s">
        <v>199</v>
      </c>
      <c r="O45" s="127" t="s">
        <v>200</v>
      </c>
    </row>
    <row r="46" spans="3:15" x14ac:dyDescent="0.3">
      <c r="C46" s="126" t="s">
        <v>32</v>
      </c>
      <c r="D46" s="124" t="s">
        <v>360</v>
      </c>
      <c r="E46" s="123" t="s">
        <v>361</v>
      </c>
      <c r="F46" s="207">
        <v>66</v>
      </c>
      <c r="G46" s="77">
        <v>45000</v>
      </c>
      <c r="H46" s="79">
        <f>G46*F46</f>
        <v>2970000</v>
      </c>
      <c r="J46" s="126" t="s">
        <v>32</v>
      </c>
      <c r="K46" s="125" t="s">
        <v>211</v>
      </c>
      <c r="L46" s="123" t="s">
        <v>5</v>
      </c>
      <c r="M46" s="207"/>
      <c r="N46" s="77"/>
      <c r="O46" s="79">
        <f>N46*M46</f>
        <v>0</v>
      </c>
    </row>
    <row r="47" spans="3:15" x14ac:dyDescent="0.3">
      <c r="C47" s="126" t="s">
        <v>33</v>
      </c>
      <c r="D47" s="13" t="s">
        <v>116</v>
      </c>
      <c r="E47" s="14" t="s">
        <v>5</v>
      </c>
      <c r="F47" s="207"/>
      <c r="G47" s="77"/>
      <c r="H47" s="79">
        <f t="shared" ref="H47:H49" si="4">F47*G47</f>
        <v>0</v>
      </c>
      <c r="J47" s="126" t="s">
        <v>33</v>
      </c>
      <c r="K47" s="125" t="s">
        <v>210</v>
      </c>
      <c r="L47" s="123" t="s">
        <v>5</v>
      </c>
      <c r="M47" s="207"/>
      <c r="N47" s="77"/>
      <c r="O47" s="79">
        <f>N47*M47</f>
        <v>0</v>
      </c>
    </row>
    <row r="48" spans="3:15" x14ac:dyDescent="0.3">
      <c r="C48" s="126" t="s">
        <v>34</v>
      </c>
      <c r="D48" s="13" t="s">
        <v>125</v>
      </c>
      <c r="E48" s="14" t="s">
        <v>5</v>
      </c>
      <c r="F48" s="207"/>
      <c r="G48" s="77"/>
      <c r="H48" s="79">
        <f t="shared" si="4"/>
        <v>0</v>
      </c>
      <c r="J48" s="126" t="s">
        <v>34</v>
      </c>
      <c r="K48" s="125" t="s">
        <v>209</v>
      </c>
      <c r="L48" s="123" t="s">
        <v>5</v>
      </c>
      <c r="M48" s="207"/>
      <c r="N48" s="77"/>
      <c r="O48" s="79">
        <f>N48*M48</f>
        <v>0</v>
      </c>
    </row>
    <row r="49" spans="3:15" x14ac:dyDescent="0.3">
      <c r="C49" s="126" t="s">
        <v>35</v>
      </c>
      <c r="D49" s="13" t="s">
        <v>126</v>
      </c>
      <c r="E49" s="14" t="s">
        <v>5</v>
      </c>
      <c r="F49" s="207"/>
      <c r="G49" s="77"/>
      <c r="H49" s="79">
        <f t="shared" si="4"/>
        <v>0</v>
      </c>
      <c r="J49" s="126" t="s">
        <v>35</v>
      </c>
      <c r="K49" s="125"/>
      <c r="L49" s="123"/>
      <c r="M49" s="207"/>
      <c r="N49" s="77"/>
      <c r="O49" s="79">
        <f>N49*M49</f>
        <v>0</v>
      </c>
    </row>
    <row r="50" spans="3:15" x14ac:dyDescent="0.3">
      <c r="C50" s="126" t="s">
        <v>36</v>
      </c>
      <c r="D50" s="125"/>
      <c r="E50" s="123"/>
      <c r="F50" s="207"/>
      <c r="G50" s="77"/>
      <c r="H50" s="79">
        <f>G50*F50</f>
        <v>0</v>
      </c>
      <c r="J50" s="126" t="s">
        <v>36</v>
      </c>
      <c r="K50" s="125"/>
      <c r="L50" s="123"/>
      <c r="M50" s="207"/>
      <c r="N50" s="77"/>
      <c r="O50" s="79">
        <f>N50*M50</f>
        <v>0</v>
      </c>
    </row>
    <row r="51" spans="3:15" x14ac:dyDescent="0.3">
      <c r="C51" s="152"/>
      <c r="D51" s="153" t="s">
        <v>208</v>
      </c>
      <c r="E51" s="154"/>
      <c r="F51" s="155"/>
      <c r="G51" s="156"/>
      <c r="H51" s="157">
        <f>SUM(H46:H50)</f>
        <v>2970000</v>
      </c>
      <c r="J51" s="152"/>
      <c r="K51" s="153" t="s">
        <v>208</v>
      </c>
      <c r="L51" s="154"/>
      <c r="M51" s="155"/>
      <c r="N51" s="156"/>
      <c r="O51" s="157">
        <f>SUM(O46:O50)</f>
        <v>0</v>
      </c>
    </row>
    <row r="52" spans="3:15" x14ac:dyDescent="0.3">
      <c r="C52" s="78"/>
      <c r="D52" s="76" t="s">
        <v>1</v>
      </c>
      <c r="E52" s="30"/>
      <c r="F52" s="189">
        <f>H13</f>
        <v>0.05</v>
      </c>
      <c r="G52" s="40">
        <f>H51</f>
        <v>2970000</v>
      </c>
      <c r="H52" s="18">
        <f>G52*F52</f>
        <v>148500</v>
      </c>
      <c r="J52" s="78"/>
      <c r="K52" s="76" t="s">
        <v>1</v>
      </c>
      <c r="L52" s="30"/>
      <c r="M52" s="189">
        <f>H13</f>
        <v>0.05</v>
      </c>
      <c r="N52" s="40">
        <f>O51</f>
        <v>0</v>
      </c>
      <c r="O52" s="18">
        <f>N52*M52</f>
        <v>0</v>
      </c>
    </row>
    <row r="53" spans="3:15" x14ac:dyDescent="0.3">
      <c r="C53" s="152"/>
      <c r="D53" s="153" t="s">
        <v>175</v>
      </c>
      <c r="E53" s="154"/>
      <c r="F53" s="155"/>
      <c r="G53" s="156"/>
      <c r="H53" s="157">
        <f>SUM(H52)</f>
        <v>148500</v>
      </c>
      <c r="J53" s="152"/>
      <c r="K53" s="153" t="s">
        <v>175</v>
      </c>
      <c r="L53" s="154"/>
      <c r="M53" s="155"/>
      <c r="N53" s="156"/>
      <c r="O53" s="157">
        <f>SUM(O52)</f>
        <v>0</v>
      </c>
    </row>
    <row r="54" spans="3:15" ht="15" thickBot="1" x14ac:dyDescent="0.35">
      <c r="C54" s="122"/>
      <c r="D54" s="121" t="s">
        <v>207</v>
      </c>
      <c r="E54" s="120"/>
      <c r="F54" s="119"/>
      <c r="G54" s="118"/>
      <c r="H54" s="117">
        <f>H51+H53</f>
        <v>3118500</v>
      </c>
      <c r="J54" s="122"/>
      <c r="K54" s="121" t="s">
        <v>207</v>
      </c>
      <c r="L54" s="120"/>
      <c r="M54" s="119"/>
      <c r="N54" s="118"/>
      <c r="O54" s="117">
        <f>O51+O53</f>
        <v>0</v>
      </c>
    </row>
    <row r="55" spans="3:15" ht="15" thickBot="1" x14ac:dyDescent="0.35"/>
    <row r="56" spans="3:15" x14ac:dyDescent="0.3">
      <c r="C56" s="344" t="s">
        <v>187</v>
      </c>
      <c r="D56" s="345"/>
      <c r="E56" s="345"/>
      <c r="F56" s="345"/>
      <c r="G56" s="345"/>
      <c r="H56" s="346"/>
      <c r="J56" s="344" t="s">
        <v>187</v>
      </c>
      <c r="K56" s="345"/>
      <c r="L56" s="345"/>
      <c r="M56" s="345"/>
      <c r="N56" s="345"/>
      <c r="O56" s="346"/>
    </row>
    <row r="57" spans="3:15" ht="15.75" hidden="1" customHeight="1" x14ac:dyDescent="0.3">
      <c r="C57" s="112"/>
      <c r="D57" s="109" t="s">
        <v>189</v>
      </c>
      <c r="E57" s="116"/>
      <c r="F57" s="115"/>
      <c r="G57" s="114"/>
      <c r="H57" s="113">
        <f>SUM(F20:F24)</f>
        <v>84</v>
      </c>
      <c r="J57" s="112"/>
      <c r="K57" s="109" t="s">
        <v>189</v>
      </c>
      <c r="L57" s="116"/>
      <c r="M57" s="115"/>
      <c r="N57" s="114"/>
      <c r="O57" s="113">
        <f>SUM(M20:M24)</f>
        <v>0</v>
      </c>
    </row>
    <row r="58" spans="3:15" x14ac:dyDescent="0.3">
      <c r="C58" s="112"/>
      <c r="D58" s="110" t="s">
        <v>206</v>
      </c>
      <c r="E58" s="109"/>
      <c r="F58" s="108"/>
      <c r="G58" s="107"/>
      <c r="H58" s="181">
        <f>H29+H40+H51</f>
        <v>10005000</v>
      </c>
      <c r="J58" s="112"/>
      <c r="K58" s="110" t="s">
        <v>206</v>
      </c>
      <c r="L58" s="109"/>
      <c r="M58" s="108"/>
      <c r="N58" s="107"/>
      <c r="O58" s="106">
        <f>O29+O40+O51</f>
        <v>0</v>
      </c>
    </row>
    <row r="59" spans="3:15" x14ac:dyDescent="0.3">
      <c r="C59" s="111"/>
      <c r="D59" s="110" t="s">
        <v>205</v>
      </c>
      <c r="E59" s="109"/>
      <c r="F59" s="108"/>
      <c r="G59" s="107"/>
      <c r="H59" s="106">
        <f>H31+H42+H53</f>
        <v>500250</v>
      </c>
      <c r="J59" s="111"/>
      <c r="K59" s="110" t="s">
        <v>205</v>
      </c>
      <c r="L59" s="109"/>
      <c r="M59" s="108"/>
      <c r="N59" s="107"/>
      <c r="O59" s="106">
        <f>O31+O42+O53</f>
        <v>0</v>
      </c>
    </row>
    <row r="60" spans="3:15" x14ac:dyDescent="0.3">
      <c r="C60" s="111"/>
      <c r="D60" s="110" t="s">
        <v>204</v>
      </c>
      <c r="E60" s="109"/>
      <c r="F60" s="108"/>
      <c r="G60" s="107"/>
      <c r="H60" s="181">
        <f>SUM(H58:H59)</f>
        <v>10505250</v>
      </c>
      <c r="J60" s="111"/>
      <c r="K60" s="110" t="s">
        <v>203</v>
      </c>
      <c r="L60" s="109"/>
      <c r="M60" s="108"/>
      <c r="N60" s="107"/>
      <c r="O60" s="106">
        <f>SUM(O58:O59)</f>
        <v>0</v>
      </c>
    </row>
    <row r="61" spans="3:15" ht="15" thickBot="1" x14ac:dyDescent="0.35">
      <c r="C61" s="105"/>
      <c r="D61" s="104" t="s">
        <v>202</v>
      </c>
      <c r="E61" s="103"/>
      <c r="F61" s="103"/>
      <c r="G61" s="103"/>
      <c r="H61" s="145">
        <f>IFERROR(H60/F12,0)</f>
        <v>116725</v>
      </c>
      <c r="J61" s="105"/>
      <c r="K61" s="104" t="s">
        <v>201</v>
      </c>
      <c r="L61" s="103"/>
      <c r="M61" s="103"/>
      <c r="N61" s="103"/>
      <c r="O61" s="145">
        <f>IFERROR(O60/F12,0)</f>
        <v>0</v>
      </c>
    </row>
    <row r="62" spans="3:15" x14ac:dyDescent="0.3">
      <c r="C62" s="182"/>
      <c r="D62" s="183"/>
      <c r="E62" s="184"/>
      <c r="F62" s="184"/>
      <c r="G62" s="184"/>
      <c r="H62" s="185">
        <f>H61/1000</f>
        <v>116.72499999999999</v>
      </c>
      <c r="J62" s="182"/>
      <c r="K62" s="183"/>
      <c r="L62" s="184"/>
      <c r="M62" s="184"/>
      <c r="N62" s="184"/>
      <c r="O62" s="185"/>
    </row>
    <row r="63" spans="3:15" ht="15" thickBot="1" x14ac:dyDescent="0.35"/>
    <row r="64" spans="3:15" ht="15.6" x14ac:dyDescent="0.3">
      <c r="C64" s="335" t="s">
        <v>258</v>
      </c>
      <c r="D64" s="336"/>
      <c r="E64" s="336"/>
      <c r="F64" s="336"/>
      <c r="G64" s="336"/>
      <c r="H64" s="143">
        <f>(H61*H65+H66*O61)/1000</f>
        <v>93.38</v>
      </c>
    </row>
    <row r="65" spans="3:11" x14ac:dyDescent="0.3">
      <c r="C65" s="337" t="s">
        <v>8</v>
      </c>
      <c r="D65" s="338"/>
      <c r="E65" s="338"/>
      <c r="F65" s="338"/>
      <c r="G65" s="338"/>
      <c r="H65" s="102">
        <v>0.8</v>
      </c>
      <c r="K65" s="228"/>
    </row>
    <row r="66" spans="3:11" ht="15" thickBot="1" x14ac:dyDescent="0.35">
      <c r="C66" s="339" t="s">
        <v>9</v>
      </c>
      <c r="D66" s="340"/>
      <c r="E66" s="340"/>
      <c r="F66" s="340"/>
      <c r="G66" s="340"/>
      <c r="H66" s="101">
        <v>0</v>
      </c>
    </row>
  </sheetData>
  <mergeCells count="31">
    <mergeCell ref="C64:G64"/>
    <mergeCell ref="C65:G65"/>
    <mergeCell ref="C66:G66"/>
    <mergeCell ref="J2:O2"/>
    <mergeCell ref="J56:O56"/>
    <mergeCell ref="J16:O17"/>
    <mergeCell ref="C56:H56"/>
    <mergeCell ref="C2:H2"/>
    <mergeCell ref="D12:E12"/>
    <mergeCell ref="D14:E14"/>
    <mergeCell ref="F5:G5"/>
    <mergeCell ref="F6:G6"/>
    <mergeCell ref="F7:G7"/>
    <mergeCell ref="F8:G8"/>
    <mergeCell ref="F9:G9"/>
    <mergeCell ref="F12:G12"/>
    <mergeCell ref="F14:G14"/>
    <mergeCell ref="C16:H17"/>
    <mergeCell ref="D4:G4"/>
    <mergeCell ref="F11:G11"/>
    <mergeCell ref="F10:G10"/>
    <mergeCell ref="D5:E5"/>
    <mergeCell ref="D6:E6"/>
    <mergeCell ref="D7:E7"/>
    <mergeCell ref="D8:E8"/>
    <mergeCell ref="D9:E9"/>
    <mergeCell ref="D11:E11"/>
    <mergeCell ref="D10:E10"/>
    <mergeCell ref="D13:E13"/>
    <mergeCell ref="F13:G13"/>
    <mergeCell ref="H9:H12"/>
  </mergeCells>
  <dataValidations count="2">
    <dataValidation type="list" allowBlank="1" showInputMessage="1" showErrorMessage="1" sqref="L46" xr:uid="{00000000-0002-0000-0200-000000000000}">
      <formula1>"Global,Viaje,Tonelada"</formula1>
    </dataValidation>
    <dataValidation type="list" allowBlank="1" showInputMessage="1" showErrorMessage="1" sqref="F13:G13" xr:uid="{00000000-0002-0000-0200-000001000000}">
      <formula1>"Entresaque,Parejo"</formula1>
    </dataValidation>
  </dataValidations>
  <pageMargins left="0.7" right="0.7" top="0.75" bottom="0.75" header="0.3" footer="0.3"/>
  <pageSetup paperSize="9" scale="43" orientation="portrait" horizontalDpi="360" verticalDpi="36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-0.249977111117893"/>
  </sheetPr>
  <dimension ref="A1:DL126"/>
  <sheetViews>
    <sheetView showGridLines="0" view="pageBreakPreview" topLeftCell="A94" zoomScaleNormal="100" zoomScaleSheetLayoutView="100" workbookViewId="0">
      <selection activeCell="C125" sqref="C125"/>
    </sheetView>
  </sheetViews>
  <sheetFormatPr baseColWidth="10" defaultRowHeight="13.2" x14ac:dyDescent="0.25"/>
  <cols>
    <col min="1" max="2" width="2" customWidth="1"/>
    <col min="3" max="3" width="5.44140625" customWidth="1"/>
    <col min="4" max="4" width="41.44140625" customWidth="1"/>
    <col min="5" max="5" width="16.44140625" customWidth="1"/>
    <col min="6" max="6" width="16.33203125" customWidth="1"/>
    <col min="7" max="7" width="17.44140625" customWidth="1"/>
    <col min="8" max="8" width="19.33203125" customWidth="1"/>
    <col min="9" max="9" width="2.5546875" customWidth="1"/>
    <col min="10" max="10" width="13.5546875" bestFit="1" customWidth="1"/>
  </cols>
  <sheetData>
    <row r="1" spans="1:116" ht="13.8" thickBot="1" x14ac:dyDescent="0.3"/>
    <row r="2" spans="1:116" ht="18" thickBot="1" x14ac:dyDescent="0.35">
      <c r="A2" s="8"/>
      <c r="C2" s="359" t="s">
        <v>155</v>
      </c>
      <c r="D2" s="360"/>
      <c r="E2" s="360"/>
      <c r="F2" s="360"/>
      <c r="G2" s="360"/>
      <c r="H2" s="361"/>
    </row>
    <row r="3" spans="1:116" ht="18" thickBot="1" x14ac:dyDescent="0.35">
      <c r="A3" s="8"/>
    </row>
    <row r="4" spans="1:116" ht="12.75" customHeight="1" thickBot="1" x14ac:dyDescent="0.35">
      <c r="A4" s="8"/>
      <c r="D4" s="368" t="s">
        <v>275</v>
      </c>
      <c r="E4" s="369"/>
      <c r="F4" s="373"/>
    </row>
    <row r="5" spans="1:116" s="148" customFormat="1" ht="12.75" customHeight="1" x14ac:dyDescent="0.25">
      <c r="A5" s="150"/>
      <c r="B5"/>
      <c r="C5"/>
      <c r="D5" s="159" t="s">
        <v>263</v>
      </c>
      <c r="E5" s="376" t="str">
        <f>'Costos siembra nueva'!E6:F6</f>
        <v>enero de 2025</v>
      </c>
      <c r="F5" s="377"/>
      <c r="G5" s="4"/>
      <c r="H5" s="305" t="s">
        <v>1</v>
      </c>
      <c r="I5" s="4"/>
      <c r="J5" s="4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</row>
    <row r="6" spans="1:116" s="148" customFormat="1" ht="12.75" customHeight="1" x14ac:dyDescent="0.25">
      <c r="A6" s="150"/>
      <c r="B6"/>
      <c r="C6"/>
      <c r="D6" s="160" t="s">
        <v>264</v>
      </c>
      <c r="E6" s="374" t="str">
        <f>Cosecha!F6</f>
        <v>Cundinamarca</v>
      </c>
      <c r="F6" s="375"/>
      <c r="G6" s="4"/>
      <c r="H6" s="306"/>
      <c r="I6" s="4"/>
      <c r="J6" s="4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</row>
    <row r="7" spans="1:116" s="148" customFormat="1" ht="12.75" customHeight="1" x14ac:dyDescent="0.25">
      <c r="A7" s="150"/>
      <c r="B7"/>
      <c r="C7"/>
      <c r="D7" s="160" t="s">
        <v>265</v>
      </c>
      <c r="E7" s="374" t="str">
        <f>Cosecha!F7</f>
        <v>Utica</v>
      </c>
      <c r="F7" s="375"/>
      <c r="G7" s="4"/>
      <c r="H7" s="306"/>
      <c r="I7" s="4"/>
      <c r="J7" s="4"/>
      <c r="K7" s="147" t="s">
        <v>262</v>
      </c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</row>
    <row r="8" spans="1:116" s="148" customFormat="1" ht="12.75" customHeight="1" x14ac:dyDescent="0.25">
      <c r="A8" s="150"/>
      <c r="B8"/>
      <c r="C8"/>
      <c r="D8" s="160" t="s">
        <v>266</v>
      </c>
      <c r="E8" s="374" t="str">
        <f>Cosecha!F8</f>
        <v>La Abuelita</v>
      </c>
      <c r="F8" s="375"/>
      <c r="G8" s="4"/>
      <c r="H8" s="306"/>
      <c r="I8" s="4"/>
      <c r="J8" s="4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</row>
    <row r="9" spans="1:116" s="148" customFormat="1" ht="12.75" customHeight="1" thickBot="1" x14ac:dyDescent="0.3">
      <c r="A9" s="150"/>
      <c r="B9"/>
      <c r="C9"/>
      <c r="D9" s="160" t="s">
        <v>267</v>
      </c>
      <c r="E9" s="374">
        <f>Cosecha!F9</f>
        <v>0</v>
      </c>
      <c r="F9" s="375"/>
      <c r="G9" s="4"/>
      <c r="H9" s="208"/>
      <c r="I9" s="4"/>
      <c r="J9" s="4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</row>
    <row r="10" spans="1:116" s="148" customFormat="1" ht="12.75" customHeight="1" x14ac:dyDescent="0.25">
      <c r="A10" s="150"/>
      <c r="B10"/>
      <c r="C10"/>
      <c r="D10" s="162" t="s">
        <v>276</v>
      </c>
      <c r="E10" s="374">
        <f>Cosecha!F10</f>
        <v>0</v>
      </c>
      <c r="F10" s="375"/>
      <c r="G10" s="4"/>
      <c r="H10" s="4"/>
      <c r="I10" s="4"/>
      <c r="J10" s="4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</row>
    <row r="11" spans="1:116" s="148" customFormat="1" ht="12.75" customHeight="1" thickBot="1" x14ac:dyDescent="0.3">
      <c r="A11" s="150"/>
      <c r="B11"/>
      <c r="C11"/>
      <c r="D11" s="161" t="s">
        <v>268</v>
      </c>
      <c r="E11" s="371" t="str">
        <f>Cosecha!F11</f>
        <v>Crisantos Bustos</v>
      </c>
      <c r="F11" s="372"/>
      <c r="G11" s="4"/>
      <c r="H11" s="4"/>
      <c r="I11" s="4"/>
      <c r="J11" s="4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</row>
    <row r="12" spans="1:116" s="147" customFormat="1" ht="12.75" customHeight="1" thickBot="1" x14ac:dyDescent="0.3">
      <c r="A12" s="150"/>
      <c r="B12" s="150"/>
      <c r="C12" s="158"/>
      <c r="E12" s="4"/>
      <c r="F12" s="4"/>
      <c r="G12" s="4"/>
      <c r="H12" s="4"/>
      <c r="I12" s="4"/>
      <c r="J12" s="4"/>
    </row>
    <row r="13" spans="1:116" ht="12.75" customHeight="1" thickBot="1" x14ac:dyDescent="0.3">
      <c r="D13" s="353" t="s">
        <v>107</v>
      </c>
      <c r="E13" s="354"/>
      <c r="F13" s="368" t="s">
        <v>277</v>
      </c>
      <c r="G13" s="369"/>
      <c r="H13" s="370"/>
    </row>
    <row r="14" spans="1:116" ht="12.75" customHeight="1" x14ac:dyDescent="0.25">
      <c r="D14" s="198" t="s">
        <v>256</v>
      </c>
      <c r="E14" s="199"/>
      <c r="F14" s="362" t="s">
        <v>70</v>
      </c>
      <c r="G14" s="363"/>
      <c r="H14" s="200"/>
    </row>
    <row r="15" spans="1:116" ht="12.75" customHeight="1" x14ac:dyDescent="0.25">
      <c r="D15" s="201" t="s">
        <v>86</v>
      </c>
      <c r="E15" s="202"/>
      <c r="F15" s="364" t="s">
        <v>115</v>
      </c>
      <c r="G15" s="365"/>
      <c r="H15" s="203"/>
    </row>
    <row r="16" spans="1:116" ht="12.75" customHeight="1" x14ac:dyDescent="0.25">
      <c r="D16" s="201" t="s">
        <v>99</v>
      </c>
      <c r="E16" s="202"/>
      <c r="F16" s="364" t="s">
        <v>69</v>
      </c>
      <c r="G16" s="365"/>
      <c r="H16" s="203"/>
    </row>
    <row r="17" spans="1:11" ht="12.75" customHeight="1" thickBot="1" x14ac:dyDescent="0.3">
      <c r="D17" s="204" t="s">
        <v>102</v>
      </c>
      <c r="E17" s="205"/>
      <c r="F17" s="366" t="s">
        <v>255</v>
      </c>
      <c r="G17" s="367"/>
      <c r="H17" s="206"/>
    </row>
    <row r="18" spans="1:11" ht="13.8" thickBot="1" x14ac:dyDescent="0.3">
      <c r="A18" s="7"/>
      <c r="B18" s="358"/>
      <c r="C18" s="358"/>
      <c r="D18" s="358"/>
      <c r="E18" s="358"/>
      <c r="F18" s="358"/>
      <c r="G18" s="358"/>
      <c r="H18" s="358"/>
    </row>
    <row r="19" spans="1:11" x14ac:dyDescent="0.25">
      <c r="A19" s="10"/>
      <c r="C19" s="26">
        <v>1</v>
      </c>
      <c r="D19" s="27" t="s">
        <v>11</v>
      </c>
      <c r="E19" s="64" t="s">
        <v>3</v>
      </c>
      <c r="F19" s="65" t="s">
        <v>4</v>
      </c>
      <c r="G19" s="28" t="s">
        <v>199</v>
      </c>
      <c r="H19" s="66" t="s">
        <v>200</v>
      </c>
    </row>
    <row r="20" spans="1:11" x14ac:dyDescent="0.25">
      <c r="A20" s="11"/>
      <c r="C20" s="12" t="s">
        <v>13</v>
      </c>
      <c r="D20" s="13" t="s">
        <v>299</v>
      </c>
      <c r="E20" s="14" t="s">
        <v>12</v>
      </c>
      <c r="F20" s="207"/>
      <c r="G20" s="77"/>
      <c r="H20" s="79">
        <f t="shared" ref="H20:H32" si="0">F20*G20*$H$15*$H$16</f>
        <v>0</v>
      </c>
    </row>
    <row r="21" spans="1:11" x14ac:dyDescent="0.25">
      <c r="A21" s="11"/>
      <c r="C21" s="12" t="s">
        <v>14</v>
      </c>
      <c r="D21" s="13" t="s">
        <v>103</v>
      </c>
      <c r="E21" s="14" t="s">
        <v>12</v>
      </c>
      <c r="F21" s="207"/>
      <c r="G21" s="77"/>
      <c r="H21" s="79">
        <f t="shared" si="0"/>
        <v>0</v>
      </c>
    </row>
    <row r="22" spans="1:11" x14ac:dyDescent="0.25">
      <c r="A22" s="11"/>
      <c r="C22" s="12" t="s">
        <v>16</v>
      </c>
      <c r="D22" s="13" t="s">
        <v>18</v>
      </c>
      <c r="E22" s="14" t="s">
        <v>12</v>
      </c>
      <c r="F22" s="207"/>
      <c r="G22" s="77"/>
      <c r="H22" s="79">
        <f t="shared" si="0"/>
        <v>0</v>
      </c>
    </row>
    <row r="23" spans="1:11" x14ac:dyDescent="0.25">
      <c r="A23" s="11"/>
      <c r="C23" s="12" t="s">
        <v>17</v>
      </c>
      <c r="D23" s="13" t="s">
        <v>292</v>
      </c>
      <c r="E23" s="14" t="s">
        <v>12</v>
      </c>
      <c r="F23" s="207"/>
      <c r="G23" s="77"/>
      <c r="H23" s="79">
        <f t="shared" si="0"/>
        <v>0</v>
      </c>
      <c r="J23" s="187"/>
      <c r="K23" s="188"/>
    </row>
    <row r="24" spans="1:11" x14ac:dyDescent="0.25">
      <c r="A24" s="11"/>
      <c r="C24" s="12" t="s">
        <v>19</v>
      </c>
      <c r="D24" s="13" t="s">
        <v>293</v>
      </c>
      <c r="E24" s="14" t="s">
        <v>12</v>
      </c>
      <c r="F24" s="207"/>
      <c r="G24" s="77"/>
      <c r="H24" s="79">
        <f t="shared" si="0"/>
        <v>0</v>
      </c>
      <c r="K24" s="55"/>
    </row>
    <row r="25" spans="1:11" x14ac:dyDescent="0.25">
      <c r="A25" s="11"/>
      <c r="C25" s="12" t="s">
        <v>20</v>
      </c>
      <c r="D25" s="13" t="s">
        <v>294</v>
      </c>
      <c r="E25" s="14" t="s">
        <v>12</v>
      </c>
      <c r="F25" s="207"/>
      <c r="G25" s="77"/>
      <c r="H25" s="79">
        <f t="shared" si="0"/>
        <v>0</v>
      </c>
    </row>
    <row r="26" spans="1:11" x14ac:dyDescent="0.25">
      <c r="A26" s="11"/>
      <c r="C26" s="12" t="s">
        <v>21</v>
      </c>
      <c r="D26" s="13" t="s">
        <v>73</v>
      </c>
      <c r="E26" s="14" t="s">
        <v>12</v>
      </c>
      <c r="F26" s="207"/>
      <c r="G26" s="77"/>
      <c r="H26" s="79">
        <f t="shared" si="0"/>
        <v>0</v>
      </c>
    </row>
    <row r="27" spans="1:11" x14ac:dyDescent="0.25">
      <c r="A27" s="11"/>
      <c r="C27" s="12" t="s">
        <v>72</v>
      </c>
      <c r="D27" s="13" t="s">
        <v>295</v>
      </c>
      <c r="E27" s="14" t="s">
        <v>12</v>
      </c>
      <c r="F27" s="207"/>
      <c r="G27" s="77"/>
      <c r="H27" s="79">
        <f t="shared" si="0"/>
        <v>0</v>
      </c>
    </row>
    <row r="28" spans="1:11" x14ac:dyDescent="0.25">
      <c r="A28" s="11"/>
      <c r="C28" s="12" t="s">
        <v>52</v>
      </c>
      <c r="D28" s="13" t="s">
        <v>108</v>
      </c>
      <c r="E28" s="14" t="s">
        <v>12</v>
      </c>
      <c r="F28" s="207"/>
      <c r="G28" s="77"/>
      <c r="H28" s="79">
        <f t="shared" si="0"/>
        <v>0</v>
      </c>
    </row>
    <row r="29" spans="1:11" x14ac:dyDescent="0.25">
      <c r="A29" s="11"/>
      <c r="C29" s="12" t="s">
        <v>53</v>
      </c>
      <c r="D29" s="13" t="s">
        <v>15</v>
      </c>
      <c r="E29" s="14" t="s">
        <v>12</v>
      </c>
      <c r="F29" s="207"/>
      <c r="G29" s="77"/>
      <c r="H29" s="79">
        <f t="shared" si="0"/>
        <v>0</v>
      </c>
    </row>
    <row r="30" spans="1:11" x14ac:dyDescent="0.25">
      <c r="A30" s="11"/>
      <c r="C30" s="12" t="s">
        <v>24</v>
      </c>
      <c r="D30" s="13" t="s">
        <v>114</v>
      </c>
      <c r="E30" s="14" t="s">
        <v>12</v>
      </c>
      <c r="F30" s="207"/>
      <c r="G30" s="77"/>
      <c r="H30" s="79">
        <f t="shared" si="0"/>
        <v>0</v>
      </c>
    </row>
    <row r="31" spans="1:11" x14ac:dyDescent="0.25">
      <c r="A31" s="11"/>
      <c r="C31" s="12" t="s">
        <v>109</v>
      </c>
      <c r="D31" s="13"/>
      <c r="E31" s="14"/>
      <c r="F31" s="207"/>
      <c r="G31" s="77"/>
      <c r="H31" s="79">
        <f t="shared" ref="H31" si="1">F31*G31*$H$15*$H$16</f>
        <v>0</v>
      </c>
    </row>
    <row r="32" spans="1:11" x14ac:dyDescent="0.25">
      <c r="A32" s="11"/>
      <c r="C32" s="12" t="s">
        <v>110</v>
      </c>
      <c r="D32" s="13"/>
      <c r="E32" s="14"/>
      <c r="F32" s="207"/>
      <c r="G32" s="77"/>
      <c r="H32" s="79">
        <f t="shared" si="0"/>
        <v>0</v>
      </c>
    </row>
    <row r="33" spans="1:8" x14ac:dyDescent="0.25">
      <c r="A33" s="11"/>
      <c r="C33" s="12" t="s">
        <v>111</v>
      </c>
      <c r="D33" s="13" t="s">
        <v>209</v>
      </c>
      <c r="E33" s="14" t="s">
        <v>305</v>
      </c>
      <c r="F33" s="207"/>
      <c r="G33" s="77"/>
      <c r="H33" s="79">
        <f>SUM(F20:F32)*H15*H16*G33*F33</f>
        <v>0</v>
      </c>
    </row>
    <row r="34" spans="1:8" x14ac:dyDescent="0.25">
      <c r="A34" s="11"/>
      <c r="C34" s="12" t="s">
        <v>112</v>
      </c>
      <c r="D34" s="13" t="s">
        <v>22</v>
      </c>
      <c r="E34" s="14" t="s">
        <v>23</v>
      </c>
      <c r="F34" s="207"/>
      <c r="G34" s="77"/>
      <c r="H34" s="79">
        <f t="shared" ref="H34" si="2">G34*F34</f>
        <v>0</v>
      </c>
    </row>
    <row r="35" spans="1:8" x14ac:dyDescent="0.25">
      <c r="A35" s="9"/>
      <c r="C35" s="152"/>
      <c r="D35" s="153" t="s">
        <v>247</v>
      </c>
      <c r="E35" s="154"/>
      <c r="F35" s="155"/>
      <c r="G35" s="156"/>
      <c r="H35" s="157">
        <f>SUM(H20:H34)</f>
        <v>0</v>
      </c>
    </row>
    <row r="36" spans="1:8" x14ac:dyDescent="0.25">
      <c r="A36" s="9"/>
      <c r="C36" s="78"/>
      <c r="D36" s="76" t="s">
        <v>195</v>
      </c>
      <c r="E36" s="30" t="s">
        <v>198</v>
      </c>
      <c r="F36" s="17">
        <f>H9</f>
        <v>0</v>
      </c>
      <c r="G36" s="40">
        <f>H35</f>
        <v>0</v>
      </c>
      <c r="H36" s="18">
        <f>G36</f>
        <v>0</v>
      </c>
    </row>
    <row r="37" spans="1:8" x14ac:dyDescent="0.25">
      <c r="A37" s="9"/>
      <c r="C37" s="152"/>
      <c r="D37" s="153" t="s">
        <v>248</v>
      </c>
      <c r="E37" s="154"/>
      <c r="F37" s="155"/>
      <c r="G37" s="156"/>
      <c r="H37" s="157">
        <f>H36</f>
        <v>0</v>
      </c>
    </row>
    <row r="38" spans="1:8" ht="13.8" thickBot="1" x14ac:dyDescent="0.3">
      <c r="A38" s="9"/>
      <c r="C38" s="32"/>
      <c r="D38" s="21" t="s">
        <v>244</v>
      </c>
      <c r="E38" s="22"/>
      <c r="F38" s="23"/>
      <c r="G38" s="24"/>
      <c r="H38" s="138">
        <f>H35+H37</f>
        <v>0</v>
      </c>
    </row>
    <row r="39" spans="1:8" ht="13.8" thickBot="1" x14ac:dyDescent="0.3">
      <c r="A39" s="9"/>
      <c r="C39" s="19"/>
      <c r="D39" s="19"/>
      <c r="E39" s="19"/>
      <c r="F39" s="19"/>
      <c r="G39" s="19"/>
      <c r="H39" s="25"/>
    </row>
    <row r="40" spans="1:8" x14ac:dyDescent="0.25">
      <c r="A40" s="10"/>
      <c r="C40" s="26">
        <v>2</v>
      </c>
      <c r="D40" s="27" t="s">
        <v>173</v>
      </c>
      <c r="E40" s="64" t="s">
        <v>3</v>
      </c>
      <c r="F40" s="65" t="s">
        <v>4</v>
      </c>
      <c r="G40" s="28" t="s">
        <v>199</v>
      </c>
      <c r="H40" s="66" t="s">
        <v>200</v>
      </c>
    </row>
    <row r="41" spans="1:8" x14ac:dyDescent="0.25">
      <c r="A41" s="29"/>
      <c r="C41" s="12" t="s">
        <v>56</v>
      </c>
      <c r="D41" s="13" t="s">
        <v>296</v>
      </c>
      <c r="E41" s="14" t="s">
        <v>74</v>
      </c>
      <c r="F41" s="207"/>
      <c r="G41" s="77"/>
      <c r="H41" s="79">
        <f>G41*F41</f>
        <v>0</v>
      </c>
    </row>
    <row r="42" spans="1:8" x14ac:dyDescent="0.25">
      <c r="A42" s="29"/>
      <c r="C42" s="12" t="s">
        <v>57</v>
      </c>
      <c r="D42" s="13" t="s">
        <v>130</v>
      </c>
      <c r="E42" s="14" t="s">
        <v>74</v>
      </c>
      <c r="F42" s="207"/>
      <c r="G42" s="77"/>
      <c r="H42" s="79">
        <f t="shared" ref="H42:H57" si="3">G42*F42</f>
        <v>0</v>
      </c>
    </row>
    <row r="43" spans="1:8" x14ac:dyDescent="0.25">
      <c r="A43" s="29"/>
      <c r="C43" s="12" t="s">
        <v>27</v>
      </c>
      <c r="D43" s="13" t="s">
        <v>122</v>
      </c>
      <c r="E43" s="14" t="s">
        <v>74</v>
      </c>
      <c r="F43" s="207"/>
      <c r="G43" s="77"/>
      <c r="H43" s="79">
        <f t="shared" si="3"/>
        <v>0</v>
      </c>
    </row>
    <row r="44" spans="1:8" x14ac:dyDescent="0.25">
      <c r="A44" s="29"/>
      <c r="C44" s="12" t="s">
        <v>58</v>
      </c>
      <c r="D44" s="13" t="s">
        <v>123</v>
      </c>
      <c r="E44" s="14" t="s">
        <v>74</v>
      </c>
      <c r="F44" s="207"/>
      <c r="G44" s="77"/>
      <c r="H44" s="79">
        <f t="shared" si="3"/>
        <v>0</v>
      </c>
    </row>
    <row r="45" spans="1:8" x14ac:dyDescent="0.25">
      <c r="A45" s="29"/>
      <c r="C45" s="12" t="s">
        <v>59</v>
      </c>
      <c r="D45" s="13" t="s">
        <v>38</v>
      </c>
      <c r="E45" s="14" t="s">
        <v>287</v>
      </c>
      <c r="F45" s="207"/>
      <c r="G45" s="77"/>
      <c r="H45" s="79">
        <f t="shared" si="3"/>
        <v>0</v>
      </c>
    </row>
    <row r="46" spans="1:8" x14ac:dyDescent="0.25">
      <c r="A46" s="29"/>
      <c r="C46" s="12" t="s">
        <v>60</v>
      </c>
      <c r="D46" s="13" t="s">
        <v>127</v>
      </c>
      <c r="E46" s="14" t="s">
        <v>124</v>
      </c>
      <c r="F46" s="207"/>
      <c r="G46" s="77"/>
      <c r="H46" s="79">
        <f t="shared" si="3"/>
        <v>0</v>
      </c>
    </row>
    <row r="47" spans="1:8" x14ac:dyDescent="0.25">
      <c r="A47" s="29"/>
      <c r="C47" s="12" t="s">
        <v>104</v>
      </c>
      <c r="D47" s="13" t="s">
        <v>97</v>
      </c>
      <c r="E47" s="14" t="s">
        <v>124</v>
      </c>
      <c r="F47" s="207"/>
      <c r="G47" s="77"/>
      <c r="H47" s="79">
        <f t="shared" si="3"/>
        <v>0</v>
      </c>
    </row>
    <row r="48" spans="1:8" x14ac:dyDescent="0.25">
      <c r="A48" s="29"/>
      <c r="C48" s="12" t="s">
        <v>105</v>
      </c>
      <c r="D48" s="13" t="s">
        <v>42</v>
      </c>
      <c r="E48" s="14" t="s">
        <v>74</v>
      </c>
      <c r="F48" s="207"/>
      <c r="G48" s="77"/>
      <c r="H48" s="79">
        <f t="shared" si="3"/>
        <v>0</v>
      </c>
    </row>
    <row r="49" spans="1:8" x14ac:dyDescent="0.25">
      <c r="A49" s="29"/>
      <c r="C49" s="12" t="s">
        <v>106</v>
      </c>
      <c r="D49" s="13" t="s">
        <v>43</v>
      </c>
      <c r="E49" s="14" t="s">
        <v>124</v>
      </c>
      <c r="F49" s="207"/>
      <c r="G49" s="77"/>
      <c r="H49" s="79">
        <f t="shared" si="3"/>
        <v>0</v>
      </c>
    </row>
    <row r="50" spans="1:8" x14ac:dyDescent="0.25">
      <c r="A50" s="29"/>
      <c r="C50" s="12" t="s">
        <v>119</v>
      </c>
      <c r="D50" s="13" t="s">
        <v>153</v>
      </c>
      <c r="E50" s="14" t="s">
        <v>5</v>
      </c>
      <c r="F50" s="207"/>
      <c r="G50" s="77"/>
      <c r="H50" s="79">
        <f t="shared" si="3"/>
        <v>0</v>
      </c>
    </row>
    <row r="51" spans="1:8" x14ac:dyDescent="0.25">
      <c r="A51" s="29"/>
      <c r="C51" s="12" t="s">
        <v>120</v>
      </c>
      <c r="D51" s="13" t="s">
        <v>129</v>
      </c>
      <c r="E51" s="14" t="s">
        <v>74</v>
      </c>
      <c r="F51" s="207"/>
      <c r="G51" s="77"/>
      <c r="H51" s="79">
        <f t="shared" si="3"/>
        <v>0</v>
      </c>
    </row>
    <row r="52" spans="1:8" x14ac:dyDescent="0.25">
      <c r="A52" s="29"/>
      <c r="C52" s="12" t="s">
        <v>121</v>
      </c>
      <c r="D52" s="13"/>
      <c r="E52" s="14"/>
      <c r="F52" s="207"/>
      <c r="G52" s="77"/>
      <c r="H52" s="79">
        <f t="shared" si="3"/>
        <v>0</v>
      </c>
    </row>
    <row r="53" spans="1:8" x14ac:dyDescent="0.25">
      <c r="A53" s="29"/>
      <c r="C53" s="12" t="s">
        <v>170</v>
      </c>
      <c r="D53" s="13"/>
      <c r="E53" s="14"/>
      <c r="F53" s="207"/>
      <c r="G53" s="77"/>
      <c r="H53" s="79">
        <f>G53*F53</f>
        <v>0</v>
      </c>
    </row>
    <row r="54" spans="1:8" x14ac:dyDescent="0.25">
      <c r="A54" s="29"/>
      <c r="C54" s="12" t="s">
        <v>171</v>
      </c>
      <c r="D54" s="13"/>
      <c r="E54" s="14"/>
      <c r="F54" s="207"/>
      <c r="G54" s="77"/>
      <c r="H54" s="79">
        <f t="shared" si="3"/>
        <v>0</v>
      </c>
    </row>
    <row r="55" spans="1:8" x14ac:dyDescent="0.25">
      <c r="A55" s="9"/>
      <c r="C55" s="12" t="s">
        <v>172</v>
      </c>
      <c r="D55" s="13" t="s">
        <v>44</v>
      </c>
      <c r="E55" s="14" t="s">
        <v>5</v>
      </c>
      <c r="F55" s="207"/>
      <c r="G55" s="77"/>
      <c r="H55" s="79">
        <f t="shared" si="3"/>
        <v>0</v>
      </c>
    </row>
    <row r="56" spans="1:8" x14ac:dyDescent="0.25">
      <c r="A56" s="9"/>
      <c r="C56" s="152"/>
      <c r="D56" s="153" t="s">
        <v>253</v>
      </c>
      <c r="E56" s="154"/>
      <c r="F56" s="155"/>
      <c r="G56" s="156"/>
      <c r="H56" s="157">
        <f>SUM(H41:H55)</f>
        <v>0</v>
      </c>
    </row>
    <row r="57" spans="1:8" x14ac:dyDescent="0.25">
      <c r="A57" s="9"/>
      <c r="C57" s="78"/>
      <c r="D57" s="76" t="s">
        <v>49</v>
      </c>
      <c r="E57" s="30" t="s">
        <v>7</v>
      </c>
      <c r="F57" s="189">
        <f>H9</f>
        <v>0</v>
      </c>
      <c r="G57" s="40">
        <f>H56</f>
        <v>0</v>
      </c>
      <c r="H57" s="15">
        <f t="shared" si="3"/>
        <v>0</v>
      </c>
    </row>
    <row r="58" spans="1:8" x14ac:dyDescent="0.25">
      <c r="A58" s="9"/>
      <c r="C58" s="152"/>
      <c r="D58" s="153" t="s">
        <v>254</v>
      </c>
      <c r="E58" s="154"/>
      <c r="F58" s="155"/>
      <c r="G58" s="156"/>
      <c r="H58" s="157">
        <f>H57</f>
        <v>0</v>
      </c>
    </row>
    <row r="59" spans="1:8" ht="13.8" thickBot="1" x14ac:dyDescent="0.3">
      <c r="A59" s="9"/>
      <c r="C59" s="32"/>
      <c r="D59" s="21" t="s">
        <v>245</v>
      </c>
      <c r="E59" s="22"/>
      <c r="F59" s="23"/>
      <c r="G59" s="24"/>
      <c r="H59" s="138">
        <f>H56+H58</f>
        <v>0</v>
      </c>
    </row>
    <row r="60" spans="1:8" ht="13.8" thickBot="1" x14ac:dyDescent="0.3">
      <c r="A60" s="9"/>
      <c r="C60" s="19"/>
      <c r="D60" s="19"/>
      <c r="E60" s="19"/>
      <c r="F60" s="19"/>
      <c r="G60" s="19"/>
      <c r="H60" s="25"/>
    </row>
    <row r="61" spans="1:8" x14ac:dyDescent="0.25">
      <c r="A61" s="10"/>
      <c r="C61" s="59">
        <v>3</v>
      </c>
      <c r="D61" s="27" t="s">
        <v>177</v>
      </c>
      <c r="E61" s="64" t="s">
        <v>3</v>
      </c>
      <c r="F61" s="65" t="s">
        <v>4</v>
      </c>
      <c r="G61" s="28" t="s">
        <v>199</v>
      </c>
      <c r="H61" s="66" t="s">
        <v>200</v>
      </c>
    </row>
    <row r="62" spans="1:8" x14ac:dyDescent="0.25">
      <c r="A62" s="11"/>
      <c r="C62" s="12" t="s">
        <v>32</v>
      </c>
      <c r="D62" s="13" t="s">
        <v>117</v>
      </c>
      <c r="E62" s="14" t="s">
        <v>5</v>
      </c>
      <c r="F62" s="207"/>
      <c r="G62" s="77"/>
      <c r="H62" s="79">
        <f>F62*G62</f>
        <v>0</v>
      </c>
    </row>
    <row r="63" spans="1:8" x14ac:dyDescent="0.25">
      <c r="A63" s="11"/>
      <c r="C63" s="12" t="s">
        <v>33</v>
      </c>
      <c r="D63" s="13" t="s">
        <v>26</v>
      </c>
      <c r="E63" s="14" t="s">
        <v>5</v>
      </c>
      <c r="F63" s="207"/>
      <c r="G63" s="77"/>
      <c r="H63" s="79">
        <f>F63*G63</f>
        <v>0</v>
      </c>
    </row>
    <row r="64" spans="1:8" x14ac:dyDescent="0.25">
      <c r="A64" s="11"/>
      <c r="C64" s="12" t="s">
        <v>34</v>
      </c>
      <c r="D64" s="13" t="s">
        <v>154</v>
      </c>
      <c r="E64" s="14" t="s">
        <v>5</v>
      </c>
      <c r="F64" s="207"/>
      <c r="G64" s="77"/>
      <c r="H64" s="79">
        <f t="shared" ref="H64:H73" si="4">F64*G64</f>
        <v>0</v>
      </c>
    </row>
    <row r="65" spans="1:8" x14ac:dyDescent="0.25">
      <c r="A65" s="11"/>
      <c r="C65" s="12" t="s">
        <v>35</v>
      </c>
      <c r="D65" s="13" t="s">
        <v>29</v>
      </c>
      <c r="E65" s="14" t="s">
        <v>5</v>
      </c>
      <c r="F65" s="207"/>
      <c r="G65" s="77"/>
      <c r="H65" s="79">
        <f t="shared" si="4"/>
        <v>0</v>
      </c>
    </row>
    <row r="66" spans="1:8" x14ac:dyDescent="0.25">
      <c r="A66" s="11"/>
      <c r="C66" s="12" t="s">
        <v>36</v>
      </c>
      <c r="D66" s="13" t="s">
        <v>71</v>
      </c>
      <c r="E66" s="14" t="s">
        <v>74</v>
      </c>
      <c r="F66" s="207"/>
      <c r="G66" s="77"/>
      <c r="H66" s="79">
        <f>F66*G66</f>
        <v>0</v>
      </c>
    </row>
    <row r="67" spans="1:8" x14ac:dyDescent="0.25">
      <c r="A67" s="11"/>
      <c r="C67" s="12" t="s">
        <v>37</v>
      </c>
      <c r="D67" s="13" t="s">
        <v>116</v>
      </c>
      <c r="E67" s="14" t="s">
        <v>5</v>
      </c>
      <c r="F67" s="207"/>
      <c r="G67" s="77"/>
      <c r="H67" s="79">
        <f t="shared" si="4"/>
        <v>0</v>
      </c>
    </row>
    <row r="68" spans="1:8" x14ac:dyDescent="0.25">
      <c r="A68" s="11"/>
      <c r="C68" s="12" t="s">
        <v>39</v>
      </c>
      <c r="D68" s="13" t="s">
        <v>125</v>
      </c>
      <c r="E68" s="14" t="s">
        <v>5</v>
      </c>
      <c r="F68" s="207"/>
      <c r="G68" s="77"/>
      <c r="H68" s="79">
        <f t="shared" si="4"/>
        <v>0</v>
      </c>
    </row>
    <row r="69" spans="1:8" x14ac:dyDescent="0.25">
      <c r="A69" s="11"/>
      <c r="C69" s="12" t="s">
        <v>40</v>
      </c>
      <c r="D69" s="13" t="s">
        <v>126</v>
      </c>
      <c r="E69" s="14" t="s">
        <v>5</v>
      </c>
      <c r="F69" s="207"/>
      <c r="G69" s="77"/>
      <c r="H69" s="79">
        <f t="shared" si="4"/>
        <v>0</v>
      </c>
    </row>
    <row r="70" spans="1:8" x14ac:dyDescent="0.25">
      <c r="A70" s="11"/>
      <c r="C70" s="12" t="s">
        <v>41</v>
      </c>
      <c r="D70" s="13" t="s">
        <v>63</v>
      </c>
      <c r="E70" s="14" t="s">
        <v>5</v>
      </c>
      <c r="F70" s="207"/>
      <c r="G70" s="77"/>
      <c r="H70" s="79">
        <f t="shared" si="4"/>
        <v>0</v>
      </c>
    </row>
    <row r="71" spans="1:8" x14ac:dyDescent="0.25">
      <c r="A71" s="11"/>
      <c r="C71" s="12" t="s">
        <v>64</v>
      </c>
      <c r="D71" s="13"/>
      <c r="E71" s="14"/>
      <c r="F71" s="207"/>
      <c r="G71" s="77"/>
      <c r="H71" s="79">
        <f t="shared" si="4"/>
        <v>0</v>
      </c>
    </row>
    <row r="72" spans="1:8" x14ac:dyDescent="0.25">
      <c r="A72" s="11"/>
      <c r="C72" s="12" t="s">
        <v>65</v>
      </c>
      <c r="D72" s="13"/>
      <c r="E72" s="14"/>
      <c r="F72" s="207"/>
      <c r="G72" s="77"/>
      <c r="H72" s="79">
        <f t="shared" si="4"/>
        <v>0</v>
      </c>
    </row>
    <row r="73" spans="1:8" x14ac:dyDescent="0.25">
      <c r="A73" s="11"/>
      <c r="C73" s="12" t="s">
        <v>66</v>
      </c>
      <c r="D73" s="13"/>
      <c r="E73" s="14"/>
      <c r="F73" s="207"/>
      <c r="G73" s="77"/>
      <c r="H73" s="79">
        <f t="shared" si="4"/>
        <v>0</v>
      </c>
    </row>
    <row r="74" spans="1:8" x14ac:dyDescent="0.25">
      <c r="A74" s="9"/>
      <c r="C74" s="12" t="s">
        <v>67</v>
      </c>
      <c r="D74" s="13" t="s">
        <v>30</v>
      </c>
      <c r="E74" s="14" t="s">
        <v>23</v>
      </c>
      <c r="F74" s="207"/>
      <c r="G74" s="77"/>
      <c r="H74" s="79">
        <f t="shared" ref="H74:H76" si="5">F74*G74</f>
        <v>0</v>
      </c>
    </row>
    <row r="75" spans="1:8" x14ac:dyDescent="0.25">
      <c r="A75" s="9"/>
      <c r="C75" s="152"/>
      <c r="D75" s="153" t="s">
        <v>250</v>
      </c>
      <c r="E75" s="154"/>
      <c r="F75" s="155"/>
      <c r="G75" s="156"/>
      <c r="H75" s="157">
        <f>SUM(H62:H74)</f>
        <v>0</v>
      </c>
    </row>
    <row r="76" spans="1:8" x14ac:dyDescent="0.25">
      <c r="A76" s="9"/>
      <c r="C76" s="78"/>
      <c r="D76" s="76" t="s">
        <v>197</v>
      </c>
      <c r="E76" s="30" t="s">
        <v>198</v>
      </c>
      <c r="F76" s="189">
        <f>H9</f>
        <v>0</v>
      </c>
      <c r="G76" s="40">
        <f>H75</f>
        <v>0</v>
      </c>
      <c r="H76" s="18">
        <f t="shared" si="5"/>
        <v>0</v>
      </c>
    </row>
    <row r="77" spans="1:8" x14ac:dyDescent="0.25">
      <c r="A77" s="9"/>
      <c r="C77" s="152"/>
      <c r="D77" s="153" t="s">
        <v>251</v>
      </c>
      <c r="E77" s="154"/>
      <c r="F77" s="155"/>
      <c r="G77" s="156"/>
      <c r="H77" s="157">
        <f>H76</f>
        <v>0</v>
      </c>
    </row>
    <row r="78" spans="1:8" ht="13.8" thickBot="1" x14ac:dyDescent="0.3">
      <c r="A78" s="9"/>
      <c r="C78" s="32"/>
      <c r="D78" s="21" t="s">
        <v>252</v>
      </c>
      <c r="E78" s="22"/>
      <c r="F78" s="23"/>
      <c r="G78" s="24"/>
      <c r="H78" s="138">
        <f>H75+H77</f>
        <v>0</v>
      </c>
    </row>
    <row r="79" spans="1:8" ht="13.8" thickBot="1" x14ac:dyDescent="0.3">
      <c r="A79" s="9"/>
      <c r="C79" s="19"/>
      <c r="D79" s="19"/>
      <c r="E79" s="19"/>
      <c r="F79" s="19"/>
      <c r="G79" s="19"/>
      <c r="H79" s="25"/>
    </row>
    <row r="80" spans="1:8" x14ac:dyDescent="0.25">
      <c r="A80" s="9"/>
      <c r="C80" s="60">
        <v>4</v>
      </c>
      <c r="D80" s="27" t="s">
        <v>261</v>
      </c>
      <c r="E80" s="64" t="s">
        <v>3</v>
      </c>
      <c r="F80" s="65" t="s">
        <v>4</v>
      </c>
      <c r="G80" s="28" t="s">
        <v>199</v>
      </c>
      <c r="H80" s="66" t="s">
        <v>200</v>
      </c>
    </row>
    <row r="81" spans="1:8" ht="12.75" customHeight="1" x14ac:dyDescent="0.25">
      <c r="A81" s="9"/>
      <c r="C81" s="12" t="s">
        <v>131</v>
      </c>
      <c r="D81" s="13" t="s">
        <v>144</v>
      </c>
      <c r="E81" s="14" t="s">
        <v>145</v>
      </c>
      <c r="F81" s="207"/>
      <c r="G81" s="77"/>
      <c r="H81" s="79">
        <f t="shared" ref="H81" si="6">F81*G81</f>
        <v>0</v>
      </c>
    </row>
    <row r="82" spans="1:8" ht="12.75" customHeight="1" x14ac:dyDescent="0.25">
      <c r="A82" s="9"/>
      <c r="C82" s="12" t="s">
        <v>132</v>
      </c>
      <c r="D82" s="13" t="s">
        <v>146</v>
      </c>
      <c r="E82" s="14" t="s">
        <v>5</v>
      </c>
      <c r="F82" s="207"/>
      <c r="G82" s="77"/>
      <c r="H82" s="79">
        <f t="shared" ref="H82:H94" si="7">F82*G82</f>
        <v>0</v>
      </c>
    </row>
    <row r="83" spans="1:8" ht="12.75" customHeight="1" x14ac:dyDescent="0.25">
      <c r="A83" s="9"/>
      <c r="C83" s="12" t="s">
        <v>133</v>
      </c>
      <c r="D83" s="13" t="s">
        <v>148</v>
      </c>
      <c r="E83" s="14" t="s">
        <v>5</v>
      </c>
      <c r="F83" s="207"/>
      <c r="G83" s="77"/>
      <c r="H83" s="79">
        <f t="shared" si="7"/>
        <v>0</v>
      </c>
    </row>
    <row r="84" spans="1:8" ht="12.75" customHeight="1" x14ac:dyDescent="0.25">
      <c r="A84" s="9"/>
      <c r="C84" s="12" t="s">
        <v>134</v>
      </c>
      <c r="D84" s="13" t="s">
        <v>147</v>
      </c>
      <c r="E84" s="14" t="s">
        <v>5</v>
      </c>
      <c r="F84" s="207"/>
      <c r="G84" s="77"/>
      <c r="H84" s="79">
        <f t="shared" si="7"/>
        <v>0</v>
      </c>
    </row>
    <row r="85" spans="1:8" ht="12.75" customHeight="1" x14ac:dyDescent="0.25">
      <c r="A85" s="9"/>
      <c r="C85" s="12" t="s">
        <v>135</v>
      </c>
      <c r="D85" s="13" t="s">
        <v>149</v>
      </c>
      <c r="E85" s="14" t="s">
        <v>5</v>
      </c>
      <c r="F85" s="207"/>
      <c r="G85" s="77"/>
      <c r="H85" s="79">
        <f t="shared" si="7"/>
        <v>0</v>
      </c>
    </row>
    <row r="86" spans="1:8" ht="12.75" customHeight="1" x14ac:dyDescent="0.25">
      <c r="A86" s="9"/>
      <c r="C86" s="12" t="s">
        <v>136</v>
      </c>
      <c r="D86" s="13" t="s">
        <v>150</v>
      </c>
      <c r="E86" s="14" t="s">
        <v>5</v>
      </c>
      <c r="F86" s="207"/>
      <c r="G86" s="77"/>
      <c r="H86" s="79">
        <f t="shared" si="7"/>
        <v>0</v>
      </c>
    </row>
    <row r="87" spans="1:8" x14ac:dyDescent="0.25">
      <c r="A87" s="9"/>
      <c r="C87" s="12" t="s">
        <v>137</v>
      </c>
      <c r="D87" s="13" t="s">
        <v>151</v>
      </c>
      <c r="E87" s="14" t="s">
        <v>5</v>
      </c>
      <c r="F87" s="207"/>
      <c r="G87" s="77"/>
      <c r="H87" s="79">
        <f t="shared" si="7"/>
        <v>0</v>
      </c>
    </row>
    <row r="88" spans="1:8" ht="12.75" customHeight="1" x14ac:dyDescent="0.25">
      <c r="A88" s="9"/>
      <c r="C88" s="12" t="s">
        <v>138</v>
      </c>
      <c r="D88" s="13" t="s">
        <v>152</v>
      </c>
      <c r="E88" s="14" t="s">
        <v>5</v>
      </c>
      <c r="F88" s="207"/>
      <c r="G88" s="77"/>
      <c r="H88" s="79">
        <f t="shared" si="7"/>
        <v>0</v>
      </c>
    </row>
    <row r="89" spans="1:8" ht="12.75" customHeight="1" x14ac:dyDescent="0.25">
      <c r="A89" s="9"/>
      <c r="C89" s="12" t="s">
        <v>139</v>
      </c>
      <c r="D89" s="13" t="s">
        <v>290</v>
      </c>
      <c r="E89" s="14" t="s">
        <v>74</v>
      </c>
      <c r="F89" s="207"/>
      <c r="G89" s="77"/>
      <c r="H89" s="79">
        <f t="shared" si="7"/>
        <v>0</v>
      </c>
    </row>
    <row r="90" spans="1:8" ht="12.75" customHeight="1" x14ac:dyDescent="0.25">
      <c r="A90" s="9"/>
      <c r="C90" s="12" t="s">
        <v>140</v>
      </c>
      <c r="D90" s="13" t="s">
        <v>291</v>
      </c>
      <c r="E90" s="14" t="s">
        <v>5</v>
      </c>
      <c r="F90" s="207"/>
      <c r="G90" s="77"/>
      <c r="H90" s="79">
        <f t="shared" si="7"/>
        <v>0</v>
      </c>
    </row>
    <row r="91" spans="1:8" ht="12.75" customHeight="1" x14ac:dyDescent="0.25">
      <c r="A91" s="9"/>
      <c r="C91" s="12" t="s">
        <v>141</v>
      </c>
      <c r="D91" s="13"/>
      <c r="E91" s="14"/>
      <c r="F91" s="207"/>
      <c r="G91" s="77"/>
      <c r="H91" s="79">
        <f t="shared" si="7"/>
        <v>0</v>
      </c>
    </row>
    <row r="92" spans="1:8" ht="12.75" customHeight="1" x14ac:dyDescent="0.25">
      <c r="A92" s="9"/>
      <c r="C92" s="12" t="s">
        <v>142</v>
      </c>
      <c r="D92" s="13"/>
      <c r="E92" s="14"/>
      <c r="F92" s="207"/>
      <c r="G92" s="77"/>
      <c r="H92" s="79">
        <f t="shared" si="7"/>
        <v>0</v>
      </c>
    </row>
    <row r="93" spans="1:8" ht="12.75" customHeight="1" x14ac:dyDescent="0.25">
      <c r="A93" s="9"/>
      <c r="C93" s="12" t="s">
        <v>143</v>
      </c>
      <c r="D93" s="13"/>
      <c r="E93" s="14"/>
      <c r="F93" s="207"/>
      <c r="G93" s="77"/>
      <c r="H93" s="79">
        <f t="shared" si="7"/>
        <v>0</v>
      </c>
    </row>
    <row r="94" spans="1:8" x14ac:dyDescent="0.25">
      <c r="A94" s="9"/>
      <c r="C94" s="12" t="s">
        <v>302</v>
      </c>
      <c r="D94" s="13" t="s">
        <v>48</v>
      </c>
      <c r="E94" s="14" t="s">
        <v>5</v>
      </c>
      <c r="F94" s="207"/>
      <c r="G94" s="77"/>
      <c r="H94" s="79">
        <f t="shared" si="7"/>
        <v>0</v>
      </c>
    </row>
    <row r="95" spans="1:8" x14ac:dyDescent="0.25">
      <c r="A95" s="31"/>
      <c r="C95" s="152"/>
      <c r="D95" s="153" t="s">
        <v>192</v>
      </c>
      <c r="E95" s="154"/>
      <c r="F95" s="155"/>
      <c r="G95" s="156"/>
      <c r="H95" s="157">
        <f>SUM(H81:H94)</f>
        <v>0</v>
      </c>
    </row>
    <row r="96" spans="1:8" x14ac:dyDescent="0.25">
      <c r="A96" s="31"/>
      <c r="C96" s="78"/>
      <c r="D96" s="76" t="s">
        <v>193</v>
      </c>
      <c r="E96" s="30" t="s">
        <v>5</v>
      </c>
      <c r="F96" s="189">
        <f>H9</f>
        <v>0</v>
      </c>
      <c r="G96" s="40">
        <f>H95</f>
        <v>0</v>
      </c>
      <c r="H96" s="18">
        <f>G96*F96</f>
        <v>0</v>
      </c>
    </row>
    <row r="97" spans="1:8" x14ac:dyDescent="0.25">
      <c r="A97" s="9"/>
      <c r="C97" s="152"/>
      <c r="D97" s="153" t="s">
        <v>194</v>
      </c>
      <c r="E97" s="154"/>
      <c r="F97" s="155"/>
      <c r="G97" s="156"/>
      <c r="H97" s="157">
        <f>H96</f>
        <v>0</v>
      </c>
    </row>
    <row r="98" spans="1:8" ht="13.8" thickBot="1" x14ac:dyDescent="0.3">
      <c r="A98" s="9"/>
      <c r="C98" s="32"/>
      <c r="D98" s="21" t="s">
        <v>246</v>
      </c>
      <c r="E98" s="22"/>
      <c r="F98" s="23"/>
      <c r="G98" s="24"/>
      <c r="H98" s="138">
        <f>H95+H97</f>
        <v>0</v>
      </c>
    </row>
    <row r="99" spans="1:8" ht="13.8" thickBot="1" x14ac:dyDescent="0.3">
      <c r="A99" s="9"/>
      <c r="C99" s="19"/>
      <c r="D99" s="19"/>
      <c r="E99" s="19"/>
      <c r="F99" s="19"/>
      <c r="G99" s="19"/>
      <c r="H99" s="33"/>
    </row>
    <row r="100" spans="1:8" x14ac:dyDescent="0.25">
      <c r="A100" s="9"/>
      <c r="C100" s="146">
        <v>5</v>
      </c>
      <c r="D100" s="27" t="s">
        <v>278</v>
      </c>
      <c r="E100" s="64" t="s">
        <v>3</v>
      </c>
      <c r="F100" s="65" t="s">
        <v>4</v>
      </c>
      <c r="G100" s="28" t="s">
        <v>199</v>
      </c>
      <c r="H100" s="66" t="s">
        <v>200</v>
      </c>
    </row>
    <row r="101" spans="1:8" ht="12.75" customHeight="1" x14ac:dyDescent="0.25">
      <c r="A101" s="9"/>
      <c r="C101" s="12" t="s">
        <v>280</v>
      </c>
      <c r="D101" s="13" t="s">
        <v>337</v>
      </c>
      <c r="E101" s="14" t="s">
        <v>5</v>
      </c>
      <c r="F101" s="207"/>
      <c r="G101" s="77"/>
      <c r="H101" s="79">
        <f t="shared" ref="H101" si="8">F101*G101</f>
        <v>0</v>
      </c>
    </row>
    <row r="102" spans="1:8" ht="12.75" customHeight="1" x14ac:dyDescent="0.25">
      <c r="A102" s="9"/>
      <c r="C102" s="12" t="s">
        <v>281</v>
      </c>
      <c r="D102" s="13" t="s">
        <v>279</v>
      </c>
      <c r="E102" s="14" t="s">
        <v>5</v>
      </c>
      <c r="F102" s="207"/>
      <c r="G102" s="77"/>
      <c r="H102" s="79">
        <f t="shared" ref="H102:H106" si="9">F102*G102</f>
        <v>0</v>
      </c>
    </row>
    <row r="103" spans="1:8" ht="12.75" customHeight="1" x14ac:dyDescent="0.25">
      <c r="A103" s="9"/>
      <c r="C103" s="12" t="s">
        <v>282</v>
      </c>
      <c r="D103" s="13"/>
      <c r="E103" s="14"/>
      <c r="F103" s="207"/>
      <c r="G103" s="77"/>
      <c r="H103" s="79">
        <f t="shared" si="9"/>
        <v>0</v>
      </c>
    </row>
    <row r="104" spans="1:8" ht="12.75" customHeight="1" x14ac:dyDescent="0.25">
      <c r="A104" s="9"/>
      <c r="C104" s="12" t="s">
        <v>283</v>
      </c>
      <c r="D104" s="13"/>
      <c r="E104" s="14"/>
      <c r="F104" s="207"/>
      <c r="G104" s="77"/>
      <c r="H104" s="79">
        <f t="shared" si="9"/>
        <v>0</v>
      </c>
    </row>
    <row r="105" spans="1:8" ht="12.75" customHeight="1" x14ac:dyDescent="0.25">
      <c r="A105" s="9"/>
      <c r="C105" s="12" t="s">
        <v>300</v>
      </c>
      <c r="D105" s="13"/>
      <c r="E105" s="14"/>
      <c r="F105" s="207"/>
      <c r="G105" s="77"/>
      <c r="H105" s="79">
        <f t="shared" si="9"/>
        <v>0</v>
      </c>
    </row>
    <row r="106" spans="1:8" x14ac:dyDescent="0.25">
      <c r="A106" s="9"/>
      <c r="C106" s="12" t="s">
        <v>301</v>
      </c>
      <c r="D106" s="13" t="s">
        <v>48</v>
      </c>
      <c r="E106" s="14" t="s">
        <v>5</v>
      </c>
      <c r="F106" s="207"/>
      <c r="G106" s="77"/>
      <c r="H106" s="79">
        <f t="shared" si="9"/>
        <v>0</v>
      </c>
    </row>
    <row r="107" spans="1:8" x14ac:dyDescent="0.25">
      <c r="A107" s="31"/>
      <c r="C107" s="152"/>
      <c r="D107" s="153" t="s">
        <v>284</v>
      </c>
      <c r="E107" s="154"/>
      <c r="F107" s="155"/>
      <c r="G107" s="156"/>
      <c r="H107" s="157">
        <f>SUM(H101:H106)</f>
        <v>0</v>
      </c>
    </row>
    <row r="108" spans="1:8" x14ac:dyDescent="0.25">
      <c r="A108" s="31"/>
      <c r="C108" s="78"/>
      <c r="D108" s="76" t="s">
        <v>193</v>
      </c>
      <c r="E108" s="30" t="s">
        <v>5</v>
      </c>
      <c r="F108" s="189">
        <f>H9</f>
        <v>0</v>
      </c>
      <c r="G108" s="40">
        <f>H107</f>
        <v>0</v>
      </c>
      <c r="H108" s="15">
        <f>G108</f>
        <v>0</v>
      </c>
    </row>
    <row r="109" spans="1:8" x14ac:dyDescent="0.25">
      <c r="A109" s="9"/>
      <c r="C109" s="152"/>
      <c r="D109" s="153" t="s">
        <v>285</v>
      </c>
      <c r="E109" s="154"/>
      <c r="F109" s="155"/>
      <c r="G109" s="156"/>
      <c r="H109" s="157">
        <f>H108</f>
        <v>0</v>
      </c>
    </row>
    <row r="110" spans="1:8" ht="13.8" thickBot="1" x14ac:dyDescent="0.3">
      <c r="A110" s="9"/>
      <c r="C110" s="32"/>
      <c r="D110" s="21" t="s">
        <v>286</v>
      </c>
      <c r="E110" s="22"/>
      <c r="F110" s="23"/>
      <c r="G110" s="24"/>
      <c r="H110" s="138">
        <f>H107+H109</f>
        <v>0</v>
      </c>
    </row>
    <row r="111" spans="1:8" ht="13.8" thickBot="1" x14ac:dyDescent="0.3">
      <c r="A111" s="9"/>
      <c r="C111" s="19"/>
      <c r="D111" s="19"/>
      <c r="E111" s="19"/>
      <c r="F111" s="19"/>
      <c r="G111" s="19"/>
      <c r="H111" s="33"/>
    </row>
    <row r="112" spans="1:8" x14ac:dyDescent="0.25">
      <c r="A112" s="35"/>
      <c r="C112" s="355" t="s">
        <v>182</v>
      </c>
      <c r="D112" s="356"/>
      <c r="E112" s="356"/>
      <c r="F112" s="356"/>
      <c r="G112" s="356"/>
      <c r="H112" s="357"/>
    </row>
    <row r="113" spans="1:8" ht="15" hidden="1" x14ac:dyDescent="0.25">
      <c r="A113" s="35"/>
      <c r="C113" s="94"/>
      <c r="D113" s="83" t="s">
        <v>183</v>
      </c>
      <c r="E113" s="88"/>
      <c r="F113" s="89"/>
      <c r="G113" s="84"/>
      <c r="H113" s="95">
        <f>SUM(F20:F33)</f>
        <v>0</v>
      </c>
    </row>
    <row r="114" spans="1:8" x14ac:dyDescent="0.25">
      <c r="A114" s="35"/>
      <c r="C114" s="90"/>
      <c r="D114" s="85" t="s">
        <v>50</v>
      </c>
      <c r="E114" s="83"/>
      <c r="F114" s="86"/>
      <c r="G114" s="87"/>
      <c r="H114" s="91">
        <f>H35+H56+H75+H95+H107</f>
        <v>0</v>
      </c>
    </row>
    <row r="115" spans="1:8" x14ac:dyDescent="0.25">
      <c r="A115" s="35"/>
      <c r="C115" s="90"/>
      <c r="D115" s="85" t="s">
        <v>51</v>
      </c>
      <c r="E115" s="83"/>
      <c r="F115" s="86"/>
      <c r="G115" s="87"/>
      <c r="H115" s="91">
        <f>H37+H58+H77+H97+H109</f>
        <v>0</v>
      </c>
    </row>
    <row r="116" spans="1:8" x14ac:dyDescent="0.25">
      <c r="A116" s="36"/>
      <c r="C116" s="90"/>
      <c r="D116" s="85" t="s">
        <v>190</v>
      </c>
      <c r="E116" s="83"/>
      <c r="F116" s="86"/>
      <c r="G116" s="87"/>
      <c r="H116" s="91">
        <f>SUM(H114:H115)</f>
        <v>0</v>
      </c>
    </row>
    <row r="117" spans="1:8" ht="14.4" thickBot="1" x14ac:dyDescent="0.3">
      <c r="A117" s="7"/>
      <c r="C117" s="98"/>
      <c r="D117" s="97" t="s">
        <v>191</v>
      </c>
      <c r="E117" s="93"/>
      <c r="F117" s="93"/>
      <c r="G117" s="93"/>
      <c r="H117" s="144">
        <f>IFERROR(H116/H17,0)</f>
        <v>0</v>
      </c>
    </row>
    <row r="118" spans="1:8" x14ac:dyDescent="0.25">
      <c r="A118" s="7"/>
    </row>
    <row r="119" spans="1:8" x14ac:dyDescent="0.25">
      <c r="A119" s="7"/>
      <c r="B119" s="7"/>
      <c r="C119" s="7"/>
      <c r="D119" s="19"/>
      <c r="E119" s="37"/>
      <c r="F119" s="3"/>
      <c r="G119" s="3"/>
    </row>
    <row r="120" spans="1:8" x14ac:dyDescent="0.25">
      <c r="A120" s="7"/>
      <c r="B120" s="7"/>
      <c r="C120" s="7"/>
      <c r="D120" s="19"/>
      <c r="E120" s="37"/>
      <c r="F120" s="38"/>
      <c r="G120" s="3"/>
      <c r="H120" s="34"/>
    </row>
    <row r="121" spans="1:8" x14ac:dyDescent="0.25">
      <c r="A121" s="7"/>
      <c r="B121" s="7"/>
      <c r="C121" s="7"/>
    </row>
    <row r="122" spans="1:8" x14ac:dyDescent="0.25">
      <c r="A122" s="7"/>
      <c r="B122" s="7"/>
      <c r="C122" s="7"/>
    </row>
    <row r="123" spans="1:8" x14ac:dyDescent="0.25">
      <c r="A123" s="7"/>
      <c r="B123" s="7"/>
      <c r="C123" s="7"/>
    </row>
    <row r="124" spans="1:8" x14ac:dyDescent="0.25">
      <c r="A124" s="7"/>
      <c r="B124" s="7"/>
      <c r="C124" s="7"/>
    </row>
    <row r="126" spans="1:8" x14ac:dyDescent="0.25">
      <c r="E126" s="1"/>
    </row>
  </sheetData>
  <mergeCells count="18">
    <mergeCell ref="E6:F6"/>
    <mergeCell ref="E7:F7"/>
    <mergeCell ref="H5:H8"/>
    <mergeCell ref="D13:E13"/>
    <mergeCell ref="C112:H112"/>
    <mergeCell ref="B18:H18"/>
    <mergeCell ref="C2:H2"/>
    <mergeCell ref="F14:G14"/>
    <mergeCell ref="F15:G15"/>
    <mergeCell ref="F16:G16"/>
    <mergeCell ref="F17:G17"/>
    <mergeCell ref="F13:H13"/>
    <mergeCell ref="E11:F11"/>
    <mergeCell ref="D4:F4"/>
    <mergeCell ref="E8:F8"/>
    <mergeCell ref="E9:F9"/>
    <mergeCell ref="E10:F10"/>
    <mergeCell ref="E5:F5"/>
  </mergeCells>
  <dataValidations count="1">
    <dataValidation type="list" allowBlank="1" showInputMessage="1" showErrorMessage="1" sqref="E81" xr:uid="{00000000-0002-0000-0300-000000000000}">
      <formula1>"Falor facturado,Etiqueta"</formula1>
    </dataValidation>
  </dataValidations>
  <printOptions horizontalCentered="1" verticalCentered="1"/>
  <pageMargins left="0.70866141732283472" right="0.70866141732283472" top="0" bottom="0" header="0.31496062992125984" footer="0.31496062992125984"/>
  <pageSetup scale="50" orientation="portrait" r:id="rId1"/>
  <headerFooter>
    <oddHeader>&amp;C&amp;"Arial,Negrita"
&amp;11
&amp;F</oddHeader>
    <oddFooter>&amp;CFederación Nacional de productores de panela - Fedepanela
Programa Comercial</oddFooter>
  </headerFooter>
  <colBreaks count="1" manualBreakCount="1">
    <brk id="1" min="17" max="162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3" tint="-0.249977111117893"/>
  </sheetPr>
  <dimension ref="A1:DM110"/>
  <sheetViews>
    <sheetView showGridLines="0" view="pageBreakPreview" topLeftCell="A84" zoomScale="115" zoomScaleNormal="115" zoomScaleSheetLayoutView="115" workbookViewId="0">
      <selection activeCell="L16" sqref="L16"/>
    </sheetView>
  </sheetViews>
  <sheetFormatPr baseColWidth="10" defaultRowHeight="13.2" x14ac:dyDescent="0.25"/>
  <cols>
    <col min="1" max="2" width="2.109375" customWidth="1"/>
    <col min="3" max="3" width="7.44140625" style="3" customWidth="1"/>
    <col min="4" max="4" width="44.6640625" style="3" customWidth="1"/>
    <col min="5" max="5" width="16.44140625" style="3" customWidth="1"/>
    <col min="6" max="6" width="16.33203125" style="3" customWidth="1"/>
    <col min="7" max="7" width="17.44140625" style="61" customWidth="1"/>
    <col min="8" max="8" width="19.33203125" style="3" customWidth="1"/>
    <col min="9" max="9" width="17.6640625" style="3" hidden="1" customWidth="1"/>
    <col min="10" max="10" width="0.44140625" hidden="1" customWidth="1"/>
    <col min="11" max="11" width="2.109375" customWidth="1"/>
  </cols>
  <sheetData>
    <row r="1" spans="1:117" ht="12" customHeight="1" thickBot="1" x14ac:dyDescent="0.3"/>
    <row r="2" spans="1:117" ht="16.2" thickBot="1" x14ac:dyDescent="0.35">
      <c r="C2" s="391" t="s">
        <v>156</v>
      </c>
      <c r="D2" s="392"/>
      <c r="E2" s="392"/>
      <c r="F2" s="392"/>
      <c r="G2" s="392"/>
      <c r="H2" s="393"/>
      <c r="I2" s="211"/>
    </row>
    <row r="3" spans="1:117" ht="13.8" thickBot="1" x14ac:dyDescent="0.3">
      <c r="C3"/>
      <c r="D3"/>
      <c r="E3"/>
      <c r="F3"/>
      <c r="G3"/>
      <c r="H3"/>
      <c r="I3"/>
    </row>
    <row r="4" spans="1:117" ht="12.75" customHeight="1" thickBot="1" x14ac:dyDescent="0.35">
      <c r="A4" s="8"/>
      <c r="C4"/>
      <c r="D4" s="368" t="s">
        <v>275</v>
      </c>
      <c r="E4" s="369"/>
      <c r="F4" s="370"/>
      <c r="G4"/>
      <c r="H4"/>
      <c r="I4"/>
    </row>
    <row r="5" spans="1:117" s="148" customFormat="1" ht="12.75" customHeight="1" thickBot="1" x14ac:dyDescent="0.3">
      <c r="A5" s="150"/>
      <c r="B5"/>
      <c r="C5"/>
      <c r="D5" s="159" t="s">
        <v>263</v>
      </c>
      <c r="E5" s="376" t="str">
        <f>'Costos siembra nueva'!E6:F6</f>
        <v>enero de 2025</v>
      </c>
      <c r="F5" s="377"/>
      <c r="G5" s="4"/>
      <c r="H5" s="305" t="s">
        <v>1</v>
      </c>
      <c r="I5"/>
      <c r="J5" s="387" t="s">
        <v>321</v>
      </c>
      <c r="K5" s="4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</row>
    <row r="6" spans="1:117" s="148" customFormat="1" ht="12.75" customHeight="1" thickBot="1" x14ac:dyDescent="0.3">
      <c r="A6" s="150"/>
      <c r="B6"/>
      <c r="C6"/>
      <c r="D6" s="160" t="s">
        <v>264</v>
      </c>
      <c r="E6" s="376" t="str">
        <f>'Costos siembra nueva'!E7:F7</f>
        <v>Cundinamarca</v>
      </c>
      <c r="F6" s="377"/>
      <c r="G6" s="4"/>
      <c r="H6" s="306"/>
      <c r="I6"/>
      <c r="J6" s="388"/>
      <c r="K6" s="4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</row>
    <row r="7" spans="1:117" s="148" customFormat="1" ht="12.75" customHeight="1" thickBot="1" x14ac:dyDescent="0.3">
      <c r="A7" s="150"/>
      <c r="B7"/>
      <c r="C7"/>
      <c r="D7" s="160" t="s">
        <v>265</v>
      </c>
      <c r="E7" s="376" t="str">
        <f>'Costos siembra nueva'!E8:F8</f>
        <v>Utica</v>
      </c>
      <c r="F7" s="377"/>
      <c r="G7" s="4"/>
      <c r="H7" s="306"/>
      <c r="I7"/>
      <c r="J7" s="220" t="s">
        <v>333</v>
      </c>
      <c r="K7" s="4"/>
      <c r="L7" s="147" t="s">
        <v>262</v>
      </c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</row>
    <row r="8" spans="1:117" s="148" customFormat="1" ht="12.75" customHeight="1" thickBot="1" x14ac:dyDescent="0.3">
      <c r="A8" s="150"/>
      <c r="B8"/>
      <c r="C8"/>
      <c r="D8" s="160" t="s">
        <v>266</v>
      </c>
      <c r="E8" s="376" t="str">
        <f>'Costos siembra nueva'!E9:F9</f>
        <v>La Abuelita</v>
      </c>
      <c r="F8" s="377"/>
      <c r="G8" s="4"/>
      <c r="H8" s="306"/>
      <c r="I8"/>
      <c r="J8" s="4"/>
      <c r="K8" s="4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</row>
    <row r="9" spans="1:117" s="148" customFormat="1" ht="12.75" customHeight="1" thickBot="1" x14ac:dyDescent="0.3">
      <c r="A9" s="150"/>
      <c r="B9"/>
      <c r="C9"/>
      <c r="D9" s="160" t="s">
        <v>267</v>
      </c>
      <c r="E9" s="396">
        <f>'Costos siembra nueva'!E10:F10</f>
        <v>0</v>
      </c>
      <c r="F9" s="397"/>
      <c r="G9" s="4"/>
      <c r="H9" s="208">
        <f>+Cosecha!H13</f>
        <v>0.05</v>
      </c>
      <c r="I9"/>
      <c r="J9" s="4"/>
      <c r="K9" s="4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</row>
    <row r="10" spans="1:117" s="148" customFormat="1" ht="12.75" customHeight="1" thickBot="1" x14ac:dyDescent="0.3">
      <c r="A10" s="150"/>
      <c r="B10"/>
      <c r="C10"/>
      <c r="D10" s="162" t="s">
        <v>276</v>
      </c>
      <c r="E10" s="398">
        <f>'Costos siembra nueva'!E11:F11</f>
        <v>0</v>
      </c>
      <c r="F10" s="399"/>
      <c r="G10" s="4"/>
      <c r="H10" s="4"/>
      <c r="I10" s="4"/>
      <c r="J10" s="4"/>
      <c r="K10" s="4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</row>
    <row r="11" spans="1:117" s="148" customFormat="1" ht="12.75" customHeight="1" thickBot="1" x14ac:dyDescent="0.3">
      <c r="A11" s="150"/>
      <c r="B11"/>
      <c r="C11"/>
      <c r="D11" s="161" t="s">
        <v>268</v>
      </c>
      <c r="E11" s="376" t="str">
        <f>'Costos siembra nueva'!E12:F12</f>
        <v>Crisantos Bustos</v>
      </c>
      <c r="F11" s="377"/>
      <c r="G11" s="4"/>
      <c r="H11" s="4"/>
      <c r="I11" s="4"/>
      <c r="J11" s="4"/>
      <c r="K11" s="4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</row>
    <row r="12" spans="1:117" s="147" customFormat="1" ht="12.75" customHeight="1" thickBot="1" x14ac:dyDescent="0.3">
      <c r="A12" s="150"/>
      <c r="B12" s="150"/>
      <c r="C12" s="158"/>
      <c r="E12" s="4"/>
      <c r="F12" s="4"/>
      <c r="G12" s="4"/>
      <c r="H12" s="4"/>
      <c r="I12" s="4"/>
      <c r="J12" s="4"/>
      <c r="K12" s="4"/>
    </row>
    <row r="13" spans="1:117" ht="13.8" thickBot="1" x14ac:dyDescent="0.3">
      <c r="D13" s="382" t="s">
        <v>98</v>
      </c>
      <c r="E13" s="385"/>
      <c r="F13" s="382" t="s">
        <v>307</v>
      </c>
      <c r="G13" s="383"/>
      <c r="H13" s="384"/>
      <c r="I13" s="4"/>
      <c r="J13" s="387" t="s">
        <v>308</v>
      </c>
    </row>
    <row r="14" spans="1:117" x14ac:dyDescent="0.25">
      <c r="D14" s="168" t="s">
        <v>256</v>
      </c>
      <c r="E14" s="169">
        <v>18</v>
      </c>
      <c r="F14" s="400" t="s">
        <v>70</v>
      </c>
      <c r="G14" s="401"/>
      <c r="H14" s="171">
        <v>15</v>
      </c>
      <c r="I14" s="221"/>
      <c r="J14" s="388"/>
    </row>
    <row r="15" spans="1:117" x14ac:dyDescent="0.25">
      <c r="D15" s="167" t="s">
        <v>80</v>
      </c>
      <c r="E15" s="170">
        <v>95</v>
      </c>
      <c r="F15" s="380" t="s">
        <v>115</v>
      </c>
      <c r="G15" s="381"/>
      <c r="H15" s="57">
        <v>1</v>
      </c>
      <c r="I15" s="4"/>
      <c r="J15" s="210">
        <f>+IF(J7="Calculado",Cosecha!F12/'Resumen costos'!D21*1000,Cosecha!F12/10*1000)</f>
        <v>9720.0000000000018</v>
      </c>
    </row>
    <row r="16" spans="1:117" x14ac:dyDescent="0.25">
      <c r="D16" s="167" t="s">
        <v>99</v>
      </c>
      <c r="E16" s="165">
        <v>60</v>
      </c>
      <c r="F16" s="380" t="s">
        <v>69</v>
      </c>
      <c r="G16" s="381"/>
      <c r="H16" s="57">
        <v>4</v>
      </c>
      <c r="I16" s="4"/>
    </row>
    <row r="17" spans="2:10" ht="13.8" thickBot="1" x14ac:dyDescent="0.3">
      <c r="D17" s="172" t="s">
        <v>102</v>
      </c>
      <c r="E17" s="166">
        <v>3</v>
      </c>
      <c r="F17" s="394" t="s">
        <v>10</v>
      </c>
      <c r="G17" s="395"/>
      <c r="H17" s="280">
        <v>6000</v>
      </c>
      <c r="I17" s="4"/>
    </row>
    <row r="18" spans="2:10" ht="15.6" thickBot="1" x14ac:dyDescent="0.3">
      <c r="B18" s="39"/>
      <c r="C18" s="386"/>
      <c r="D18" s="386"/>
      <c r="E18" s="386"/>
      <c r="F18" s="386"/>
      <c r="G18" s="386"/>
      <c r="H18" s="386"/>
      <c r="I18" s="389" t="s">
        <v>309</v>
      </c>
      <c r="J18" s="390"/>
    </row>
    <row r="19" spans="2:10" x14ac:dyDescent="0.25">
      <c r="C19" s="59">
        <v>1</v>
      </c>
      <c r="D19" s="63" t="s">
        <v>11</v>
      </c>
      <c r="E19" s="64" t="s">
        <v>3</v>
      </c>
      <c r="F19" s="65" t="s">
        <v>4</v>
      </c>
      <c r="G19" s="28" t="s">
        <v>199</v>
      </c>
      <c r="H19" s="66" t="s">
        <v>200</v>
      </c>
      <c r="I19" s="213" t="s">
        <v>4</v>
      </c>
      <c r="J19" s="213" t="s">
        <v>310</v>
      </c>
    </row>
    <row r="20" spans="2:10" x14ac:dyDescent="0.25">
      <c r="C20" s="12" t="s">
        <v>13</v>
      </c>
      <c r="D20" s="13" t="s">
        <v>362</v>
      </c>
      <c r="E20" s="14" t="s">
        <v>363</v>
      </c>
      <c r="F20" s="281">
        <f t="shared" ref="F20:F26" si="0">+$H$17</f>
        <v>6000</v>
      </c>
      <c r="G20" s="77">
        <v>9.5</v>
      </c>
      <c r="H20" s="79">
        <v>200000</v>
      </c>
      <c r="I20" s="79">
        <f>+F20*J15/H17</f>
        <v>9720.0000000000018</v>
      </c>
      <c r="J20" s="79">
        <f>+G20*I20</f>
        <v>92340.000000000015</v>
      </c>
    </row>
    <row r="21" spans="2:10" x14ac:dyDescent="0.25">
      <c r="C21" s="12" t="s">
        <v>14</v>
      </c>
      <c r="D21" s="13" t="s">
        <v>364</v>
      </c>
      <c r="E21" s="14" t="s">
        <v>363</v>
      </c>
      <c r="F21" s="281">
        <f t="shared" si="0"/>
        <v>6000</v>
      </c>
      <c r="G21" s="77">
        <v>165</v>
      </c>
      <c r="H21" s="79">
        <f>+IF($G$7="Por producción",G21*F21*H15,F21*G21)</f>
        <v>990000</v>
      </c>
      <c r="I21" s="79">
        <f>+F21*$J$15/$H$17</f>
        <v>9720.0000000000018</v>
      </c>
      <c r="J21" s="79">
        <f>+I21*G21</f>
        <v>1603800.0000000002</v>
      </c>
    </row>
    <row r="22" spans="2:10" x14ac:dyDescent="0.25">
      <c r="C22" s="12" t="s">
        <v>16</v>
      </c>
      <c r="D22" s="13" t="s">
        <v>365</v>
      </c>
      <c r="E22" s="14" t="s">
        <v>363</v>
      </c>
      <c r="F22" s="281">
        <f t="shared" si="0"/>
        <v>6000</v>
      </c>
      <c r="G22" s="77">
        <v>55</v>
      </c>
      <c r="H22" s="79">
        <f t="shared" ref="H22:H26" si="1">+IF($G$7="Por producción",G22*F22*H16,F22*G22)</f>
        <v>330000</v>
      </c>
      <c r="I22" s="79">
        <f t="shared" ref="I22:I35" si="2">+F22*$J$15/$H$17</f>
        <v>9720.0000000000018</v>
      </c>
      <c r="J22" s="79">
        <f t="shared" ref="J22:J34" si="3">+I22*G22</f>
        <v>534600.00000000012</v>
      </c>
    </row>
    <row r="23" spans="2:10" x14ac:dyDescent="0.25">
      <c r="C23" s="12" t="s">
        <v>17</v>
      </c>
      <c r="D23" s="13" t="s">
        <v>366</v>
      </c>
      <c r="E23" s="14" t="s">
        <v>363</v>
      </c>
      <c r="F23" s="281">
        <f t="shared" si="0"/>
        <v>6000</v>
      </c>
      <c r="G23" s="77">
        <v>55</v>
      </c>
      <c r="H23" s="79">
        <f t="shared" si="1"/>
        <v>330000</v>
      </c>
      <c r="I23" s="79">
        <f t="shared" si="2"/>
        <v>9720.0000000000018</v>
      </c>
      <c r="J23" s="79">
        <f t="shared" si="3"/>
        <v>534600.00000000012</v>
      </c>
    </row>
    <row r="24" spans="2:10" x14ac:dyDescent="0.25">
      <c r="C24" s="12" t="s">
        <v>19</v>
      </c>
      <c r="D24" s="13" t="s">
        <v>367</v>
      </c>
      <c r="E24" s="14" t="s">
        <v>363</v>
      </c>
      <c r="F24" s="281">
        <f t="shared" si="0"/>
        <v>6000</v>
      </c>
      <c r="G24" s="77">
        <v>55</v>
      </c>
      <c r="H24" s="79">
        <f t="shared" si="1"/>
        <v>330000</v>
      </c>
      <c r="I24" s="79">
        <f t="shared" si="2"/>
        <v>9720.0000000000018</v>
      </c>
      <c r="J24" s="79">
        <f t="shared" si="3"/>
        <v>534600.00000000012</v>
      </c>
    </row>
    <row r="25" spans="2:10" x14ac:dyDescent="0.25">
      <c r="C25" s="12" t="s">
        <v>20</v>
      </c>
      <c r="D25" s="13" t="s">
        <v>368</v>
      </c>
      <c r="E25" s="14" t="s">
        <v>363</v>
      </c>
      <c r="F25" s="281">
        <f t="shared" si="0"/>
        <v>6000</v>
      </c>
      <c r="G25" s="77">
        <v>55</v>
      </c>
      <c r="H25" s="79">
        <f t="shared" si="1"/>
        <v>330000</v>
      </c>
      <c r="I25" s="79">
        <f t="shared" si="2"/>
        <v>9720.0000000000018</v>
      </c>
      <c r="J25" s="79">
        <f t="shared" si="3"/>
        <v>534600.00000000012</v>
      </c>
    </row>
    <row r="26" spans="2:10" x14ac:dyDescent="0.25">
      <c r="C26" s="12" t="s">
        <v>21</v>
      </c>
      <c r="D26" s="13" t="s">
        <v>114</v>
      </c>
      <c r="E26" s="14" t="s">
        <v>363</v>
      </c>
      <c r="F26" s="281">
        <f t="shared" si="0"/>
        <v>6000</v>
      </c>
      <c r="G26" s="77">
        <v>45</v>
      </c>
      <c r="H26" s="79">
        <f t="shared" si="1"/>
        <v>270000</v>
      </c>
      <c r="I26" s="79">
        <f t="shared" si="2"/>
        <v>9720.0000000000018</v>
      </c>
      <c r="J26" s="79">
        <f t="shared" si="3"/>
        <v>437400.00000000006</v>
      </c>
    </row>
    <row r="27" spans="2:10" x14ac:dyDescent="0.25">
      <c r="C27" s="12" t="s">
        <v>72</v>
      </c>
      <c r="D27" s="13"/>
      <c r="E27" s="14"/>
      <c r="F27" s="207"/>
      <c r="G27" s="77"/>
      <c r="H27" s="79">
        <f t="shared" ref="H27:H33" si="4">F27*G27*$H$15*$H$16</f>
        <v>0</v>
      </c>
      <c r="I27" s="79">
        <f t="shared" si="2"/>
        <v>0</v>
      </c>
      <c r="J27" s="79">
        <f t="shared" si="3"/>
        <v>0</v>
      </c>
    </row>
    <row r="28" spans="2:10" x14ac:dyDescent="0.25">
      <c r="C28" s="12" t="s">
        <v>52</v>
      </c>
      <c r="D28" s="13"/>
      <c r="E28" s="14"/>
      <c r="F28" s="207"/>
      <c r="G28" s="77"/>
      <c r="H28" s="79">
        <f t="shared" si="4"/>
        <v>0</v>
      </c>
      <c r="I28" s="79">
        <f t="shared" si="2"/>
        <v>0</v>
      </c>
      <c r="J28" s="79">
        <f t="shared" si="3"/>
        <v>0</v>
      </c>
    </row>
    <row r="29" spans="2:10" x14ac:dyDescent="0.25">
      <c r="C29" s="12" t="s">
        <v>53</v>
      </c>
      <c r="D29" s="13"/>
      <c r="E29" s="14"/>
      <c r="F29" s="207"/>
      <c r="G29" s="77"/>
      <c r="H29" s="79">
        <f t="shared" si="4"/>
        <v>0</v>
      </c>
      <c r="I29" s="79">
        <f t="shared" si="2"/>
        <v>0</v>
      </c>
      <c r="J29" s="79">
        <f t="shared" si="3"/>
        <v>0</v>
      </c>
    </row>
    <row r="30" spans="2:10" x14ac:dyDescent="0.25">
      <c r="C30" s="12" t="s">
        <v>24</v>
      </c>
      <c r="D30" s="13"/>
      <c r="E30" s="14"/>
      <c r="F30" s="207"/>
      <c r="G30" s="77"/>
      <c r="H30" s="79">
        <f t="shared" si="4"/>
        <v>0</v>
      </c>
      <c r="I30" s="79">
        <f t="shared" si="2"/>
        <v>0</v>
      </c>
      <c r="J30" s="79">
        <f t="shared" si="3"/>
        <v>0</v>
      </c>
    </row>
    <row r="31" spans="2:10" x14ac:dyDescent="0.25">
      <c r="C31" s="12" t="s">
        <v>109</v>
      </c>
      <c r="D31" s="13"/>
      <c r="E31" s="14"/>
      <c r="F31" s="207"/>
      <c r="G31" s="77"/>
      <c r="H31" s="79">
        <f t="shared" si="4"/>
        <v>0</v>
      </c>
      <c r="I31" s="79">
        <f t="shared" si="2"/>
        <v>0</v>
      </c>
      <c r="J31" s="79">
        <f t="shared" si="3"/>
        <v>0</v>
      </c>
    </row>
    <row r="32" spans="2:10" x14ac:dyDescent="0.25">
      <c r="C32" s="12" t="s">
        <v>110</v>
      </c>
      <c r="D32" s="13"/>
      <c r="E32" s="14"/>
      <c r="F32" s="207"/>
      <c r="G32" s="77"/>
      <c r="H32" s="79">
        <f t="shared" si="4"/>
        <v>0</v>
      </c>
      <c r="I32" s="79">
        <f t="shared" si="2"/>
        <v>0</v>
      </c>
      <c r="J32" s="79">
        <f t="shared" si="3"/>
        <v>0</v>
      </c>
    </row>
    <row r="33" spans="3:10" x14ac:dyDescent="0.25">
      <c r="C33" s="12" t="s">
        <v>111</v>
      </c>
      <c r="D33" s="13"/>
      <c r="E33" s="14"/>
      <c r="F33" s="207"/>
      <c r="G33" s="77"/>
      <c r="H33" s="79">
        <f t="shared" si="4"/>
        <v>0</v>
      </c>
      <c r="I33" s="79">
        <f t="shared" si="2"/>
        <v>0</v>
      </c>
      <c r="J33" s="79">
        <f t="shared" si="3"/>
        <v>0</v>
      </c>
    </row>
    <row r="34" spans="3:10" x14ac:dyDescent="0.25">
      <c r="C34" s="12" t="s">
        <v>112</v>
      </c>
      <c r="D34" s="13"/>
      <c r="E34" s="14"/>
      <c r="F34" s="207"/>
      <c r="G34" s="77"/>
      <c r="H34" s="79">
        <f>SUM(F20:F33)*H15*H16*G34*F34</f>
        <v>0</v>
      </c>
      <c r="I34" s="79">
        <f t="shared" si="2"/>
        <v>0</v>
      </c>
      <c r="J34" s="79">
        <f t="shared" si="3"/>
        <v>0</v>
      </c>
    </row>
    <row r="35" spans="3:10" x14ac:dyDescent="0.25">
      <c r="C35" s="12" t="s">
        <v>113</v>
      </c>
      <c r="D35" s="13"/>
      <c r="E35" s="14"/>
      <c r="F35" s="207"/>
      <c r="G35" s="77"/>
      <c r="H35" s="79">
        <f>F35*G35</f>
        <v>0</v>
      </c>
      <c r="I35" s="79">
        <f t="shared" si="2"/>
        <v>0</v>
      </c>
      <c r="J35" s="79">
        <f>+G35*$J$15/$H$17</f>
        <v>0</v>
      </c>
    </row>
    <row r="36" spans="3:10" x14ac:dyDescent="0.25">
      <c r="C36" s="152"/>
      <c r="D36" s="153" t="s">
        <v>25</v>
      </c>
      <c r="E36" s="154"/>
      <c r="F36" s="155"/>
      <c r="G36" s="156"/>
      <c r="H36" s="157">
        <f>SUM(H20:H35)</f>
        <v>2780000</v>
      </c>
      <c r="I36" s="157">
        <f>SUM(I20:I35)</f>
        <v>68040.000000000015</v>
      </c>
      <c r="J36" s="157">
        <f>SUM(J20:J35)</f>
        <v>4271940.0000000009</v>
      </c>
    </row>
    <row r="37" spans="3:10" x14ac:dyDescent="0.25">
      <c r="C37" s="78"/>
      <c r="D37" s="76" t="s">
        <v>54</v>
      </c>
      <c r="E37" s="30" t="s">
        <v>0</v>
      </c>
      <c r="F37" s="189">
        <f>H9</f>
        <v>0.05</v>
      </c>
      <c r="G37" s="40">
        <f>H36</f>
        <v>2780000</v>
      </c>
      <c r="H37" s="18">
        <f>G37*F37</f>
        <v>139000</v>
      </c>
      <c r="I37" s="18"/>
      <c r="J37" s="18">
        <f>+J36*F37</f>
        <v>213597.00000000006</v>
      </c>
    </row>
    <row r="38" spans="3:10" x14ac:dyDescent="0.25">
      <c r="C38" s="152"/>
      <c r="D38" s="153" t="s">
        <v>55</v>
      </c>
      <c r="E38" s="154"/>
      <c r="F38" s="155"/>
      <c r="G38" s="156"/>
      <c r="H38" s="157">
        <f>H37</f>
        <v>139000</v>
      </c>
      <c r="I38" s="157"/>
      <c r="J38" s="157">
        <f>J37</f>
        <v>213597.00000000006</v>
      </c>
    </row>
    <row r="39" spans="3:10" ht="13.8" thickBot="1" x14ac:dyDescent="0.3">
      <c r="C39" s="20"/>
      <c r="D39" s="21" t="s">
        <v>244</v>
      </c>
      <c r="E39" s="41"/>
      <c r="F39" s="42"/>
      <c r="G39" s="43"/>
      <c r="H39" s="138">
        <f>H36+H38</f>
        <v>2919000</v>
      </c>
      <c r="I39" s="138"/>
      <c r="J39" s="138">
        <f>J36+J38</f>
        <v>4485537.0000000009</v>
      </c>
    </row>
    <row r="40" spans="3:10" ht="13.8" thickBot="1" x14ac:dyDescent="0.3">
      <c r="C40" s="19"/>
      <c r="D40" s="19"/>
      <c r="E40" s="19"/>
      <c r="F40" s="19"/>
      <c r="G40" s="44"/>
      <c r="H40" s="62"/>
      <c r="I40" s="62"/>
    </row>
    <row r="41" spans="3:10" x14ac:dyDescent="0.25">
      <c r="C41" s="59">
        <v>2</v>
      </c>
      <c r="D41" s="63" t="s">
        <v>173</v>
      </c>
      <c r="E41" s="64" t="s">
        <v>3</v>
      </c>
      <c r="F41" s="65" t="s">
        <v>4</v>
      </c>
      <c r="G41" s="28" t="s">
        <v>199</v>
      </c>
      <c r="H41" s="66" t="s">
        <v>200</v>
      </c>
      <c r="I41" s="28" t="s">
        <v>4</v>
      </c>
      <c r="J41" s="66" t="s">
        <v>310</v>
      </c>
    </row>
    <row r="42" spans="3:10" x14ac:dyDescent="0.25">
      <c r="C42" s="12" t="s">
        <v>56</v>
      </c>
      <c r="D42" s="13" t="s">
        <v>296</v>
      </c>
      <c r="E42" s="14" t="s">
        <v>74</v>
      </c>
      <c r="F42" s="207"/>
      <c r="G42" s="77"/>
      <c r="H42" s="79">
        <f>F42*G42</f>
        <v>0</v>
      </c>
      <c r="I42" s="217">
        <f>+$J$15/$H$17*F42</f>
        <v>0</v>
      </c>
      <c r="J42" s="79">
        <f>+I42*G42</f>
        <v>0</v>
      </c>
    </row>
    <row r="43" spans="3:10" x14ac:dyDescent="0.25">
      <c r="C43" s="12" t="s">
        <v>57</v>
      </c>
      <c r="D43" s="13" t="s">
        <v>130</v>
      </c>
      <c r="E43" s="14" t="s">
        <v>74</v>
      </c>
      <c r="F43" s="207">
        <v>80</v>
      </c>
      <c r="G43" s="77">
        <v>300</v>
      </c>
      <c r="H43" s="79">
        <f>F43*G43</f>
        <v>24000</v>
      </c>
      <c r="I43" s="217">
        <f>+$J$15/$H$17*F43</f>
        <v>129.60000000000002</v>
      </c>
      <c r="J43" s="79">
        <f>+I43*G43</f>
        <v>38880.000000000007</v>
      </c>
    </row>
    <row r="44" spans="3:10" x14ac:dyDescent="0.25">
      <c r="C44" s="12" t="s">
        <v>27</v>
      </c>
      <c r="D44" s="13" t="s">
        <v>383</v>
      </c>
      <c r="E44" s="14" t="s">
        <v>74</v>
      </c>
      <c r="F44" s="207">
        <v>15</v>
      </c>
      <c r="G44" s="77">
        <v>3500</v>
      </c>
      <c r="H44" s="79">
        <f>F44*G44</f>
        <v>52500</v>
      </c>
      <c r="I44" s="217">
        <f t="shared" ref="I44:I58" si="5">+$J$15/$H$17*F44</f>
        <v>24.300000000000004</v>
      </c>
      <c r="J44" s="79">
        <f t="shared" ref="J44:J58" si="6">+I44*G44</f>
        <v>85050.000000000015</v>
      </c>
    </row>
    <row r="45" spans="3:10" x14ac:dyDescent="0.25">
      <c r="C45" s="12" t="s">
        <v>58</v>
      </c>
      <c r="D45" s="13" t="s">
        <v>38</v>
      </c>
      <c r="E45" s="14" t="s">
        <v>369</v>
      </c>
      <c r="F45" s="207">
        <v>6</v>
      </c>
      <c r="G45" s="77">
        <v>8000</v>
      </c>
      <c r="H45" s="79">
        <f t="shared" ref="H45:H52" si="7">F45*G45</f>
        <v>48000</v>
      </c>
      <c r="I45" s="217">
        <f t="shared" si="5"/>
        <v>9.7200000000000024</v>
      </c>
      <c r="J45" s="79">
        <f t="shared" si="6"/>
        <v>77760.000000000015</v>
      </c>
    </row>
    <row r="46" spans="3:10" x14ac:dyDescent="0.25">
      <c r="C46" s="12" t="s">
        <v>59</v>
      </c>
      <c r="D46" s="13" t="s">
        <v>127</v>
      </c>
      <c r="E46" s="14" t="s">
        <v>124</v>
      </c>
      <c r="F46" s="207">
        <v>25</v>
      </c>
      <c r="G46" s="77">
        <v>14000</v>
      </c>
      <c r="H46" s="79">
        <f t="shared" si="7"/>
        <v>350000</v>
      </c>
      <c r="I46" s="217">
        <f t="shared" si="5"/>
        <v>40.500000000000007</v>
      </c>
      <c r="J46" s="79">
        <f t="shared" si="6"/>
        <v>567000.00000000012</v>
      </c>
    </row>
    <row r="47" spans="3:10" x14ac:dyDescent="0.25">
      <c r="C47" s="12" t="s">
        <v>60</v>
      </c>
      <c r="D47" s="13" t="s">
        <v>97</v>
      </c>
      <c r="E47" s="14" t="s">
        <v>124</v>
      </c>
      <c r="F47" s="207">
        <v>1</v>
      </c>
      <c r="G47" s="77">
        <v>35000</v>
      </c>
      <c r="H47" s="79">
        <f t="shared" si="7"/>
        <v>35000</v>
      </c>
      <c r="I47" s="217">
        <f t="shared" si="5"/>
        <v>1.6200000000000003</v>
      </c>
      <c r="J47" s="79">
        <f t="shared" si="6"/>
        <v>56700.000000000015</v>
      </c>
    </row>
    <row r="48" spans="3:10" x14ac:dyDescent="0.25">
      <c r="C48" s="12" t="s">
        <v>104</v>
      </c>
      <c r="D48" s="13" t="s">
        <v>42</v>
      </c>
      <c r="E48" s="14" t="s">
        <v>74</v>
      </c>
      <c r="F48" s="207">
        <v>1.5</v>
      </c>
      <c r="G48" s="77">
        <v>30000</v>
      </c>
      <c r="H48" s="79">
        <f t="shared" si="7"/>
        <v>45000</v>
      </c>
      <c r="I48" s="217">
        <f t="shared" si="5"/>
        <v>2.4300000000000006</v>
      </c>
      <c r="J48" s="79">
        <f t="shared" si="6"/>
        <v>72900.000000000015</v>
      </c>
    </row>
    <row r="49" spans="3:10" x14ac:dyDescent="0.25">
      <c r="C49" s="12" t="s">
        <v>105</v>
      </c>
      <c r="D49" s="13" t="s">
        <v>43</v>
      </c>
      <c r="E49" s="14" t="s">
        <v>124</v>
      </c>
      <c r="F49" s="207">
        <v>1</v>
      </c>
      <c r="G49" s="77">
        <v>165000</v>
      </c>
      <c r="H49" s="79">
        <f t="shared" si="7"/>
        <v>165000</v>
      </c>
      <c r="I49" s="217">
        <f t="shared" si="5"/>
        <v>1.6200000000000003</v>
      </c>
      <c r="J49" s="79">
        <f t="shared" si="6"/>
        <v>267300.00000000006</v>
      </c>
    </row>
    <row r="50" spans="3:10" x14ac:dyDescent="0.25">
      <c r="C50" s="12" t="s">
        <v>106</v>
      </c>
      <c r="D50" s="13" t="s">
        <v>370</v>
      </c>
      <c r="E50" s="14" t="s">
        <v>128</v>
      </c>
      <c r="F50" s="207">
        <v>300</v>
      </c>
      <c r="G50" s="77">
        <v>1950</v>
      </c>
      <c r="H50" s="79">
        <f t="shared" si="7"/>
        <v>585000</v>
      </c>
      <c r="I50" s="217">
        <f t="shared" si="5"/>
        <v>486.00000000000011</v>
      </c>
      <c r="J50" s="79">
        <f t="shared" si="6"/>
        <v>947700.00000000023</v>
      </c>
    </row>
    <row r="51" spans="3:10" x14ac:dyDescent="0.25">
      <c r="C51" s="12" t="s">
        <v>119</v>
      </c>
      <c r="D51" s="13" t="s">
        <v>371</v>
      </c>
      <c r="E51" s="14" t="s">
        <v>372</v>
      </c>
      <c r="F51" s="207">
        <v>2</v>
      </c>
      <c r="G51" s="77">
        <v>2500</v>
      </c>
      <c r="H51" s="79">
        <f t="shared" si="7"/>
        <v>5000</v>
      </c>
      <c r="I51" s="217">
        <f t="shared" si="5"/>
        <v>3.2400000000000007</v>
      </c>
      <c r="J51" s="79">
        <f t="shared" si="6"/>
        <v>8100.0000000000018</v>
      </c>
    </row>
    <row r="52" spans="3:10" x14ac:dyDescent="0.25">
      <c r="C52" s="12" t="s">
        <v>120</v>
      </c>
      <c r="D52" s="13" t="s">
        <v>373</v>
      </c>
      <c r="E52" s="14" t="s">
        <v>374</v>
      </c>
      <c r="F52" s="207">
        <v>40</v>
      </c>
      <c r="G52" s="77">
        <v>1150</v>
      </c>
      <c r="H52" s="79">
        <f t="shared" si="7"/>
        <v>46000</v>
      </c>
      <c r="I52" s="217">
        <f t="shared" si="5"/>
        <v>64.800000000000011</v>
      </c>
      <c r="J52" s="79">
        <f t="shared" si="6"/>
        <v>74520.000000000015</v>
      </c>
    </row>
    <row r="53" spans="3:10" x14ac:dyDescent="0.25">
      <c r="C53" s="12" t="s">
        <v>121</v>
      </c>
      <c r="D53" s="13"/>
      <c r="E53" s="14"/>
      <c r="F53" s="207"/>
      <c r="G53" s="77"/>
      <c r="H53" s="79">
        <f t="shared" ref="H53:H59" si="8">F53*G53</f>
        <v>0</v>
      </c>
      <c r="I53" s="217">
        <f t="shared" si="5"/>
        <v>0</v>
      </c>
      <c r="J53" s="79">
        <f t="shared" si="6"/>
        <v>0</v>
      </c>
    </row>
    <row r="54" spans="3:10" x14ac:dyDescent="0.25">
      <c r="C54" s="12" t="s">
        <v>170</v>
      </c>
      <c r="D54" s="13"/>
      <c r="E54" s="14"/>
      <c r="F54" s="207"/>
      <c r="G54" s="77"/>
      <c r="H54" s="79">
        <f t="shared" si="8"/>
        <v>0</v>
      </c>
      <c r="I54" s="217">
        <f t="shared" si="5"/>
        <v>0</v>
      </c>
      <c r="J54" s="79">
        <f t="shared" si="6"/>
        <v>0</v>
      </c>
    </row>
    <row r="55" spans="3:10" x14ac:dyDescent="0.25">
      <c r="C55" s="12" t="s">
        <v>171</v>
      </c>
      <c r="D55" s="13"/>
      <c r="E55" s="14"/>
      <c r="F55" s="207"/>
      <c r="G55" s="77"/>
      <c r="H55" s="79">
        <f t="shared" si="8"/>
        <v>0</v>
      </c>
      <c r="I55" s="217">
        <f t="shared" si="5"/>
        <v>0</v>
      </c>
      <c r="J55" s="79">
        <f t="shared" si="6"/>
        <v>0</v>
      </c>
    </row>
    <row r="56" spans="3:10" x14ac:dyDescent="0.25">
      <c r="C56" s="12" t="s">
        <v>172</v>
      </c>
      <c r="D56" s="13"/>
      <c r="E56" s="14"/>
      <c r="F56" s="207"/>
      <c r="G56" s="77"/>
      <c r="H56" s="79">
        <f t="shared" si="8"/>
        <v>0</v>
      </c>
      <c r="I56" s="217">
        <f t="shared" si="5"/>
        <v>0</v>
      </c>
      <c r="J56" s="79">
        <f t="shared" si="6"/>
        <v>0</v>
      </c>
    </row>
    <row r="57" spans="3:10" x14ac:dyDescent="0.25">
      <c r="C57" s="12" t="s">
        <v>229</v>
      </c>
      <c r="D57" s="13"/>
      <c r="E57" s="14"/>
      <c r="F57" s="207"/>
      <c r="G57" s="77"/>
      <c r="H57" s="79">
        <f t="shared" si="8"/>
        <v>0</v>
      </c>
      <c r="I57" s="217">
        <f t="shared" si="5"/>
        <v>0</v>
      </c>
      <c r="J57" s="79">
        <f t="shared" si="6"/>
        <v>0</v>
      </c>
    </row>
    <row r="58" spans="3:10" x14ac:dyDescent="0.25">
      <c r="C58" s="12" t="s">
        <v>259</v>
      </c>
      <c r="D58" s="13"/>
      <c r="E58" s="14"/>
      <c r="F58" s="207"/>
      <c r="G58" s="77"/>
      <c r="H58" s="79">
        <f t="shared" si="8"/>
        <v>0</v>
      </c>
      <c r="I58" s="217">
        <f t="shared" si="5"/>
        <v>0</v>
      </c>
      <c r="J58" s="79">
        <f t="shared" si="6"/>
        <v>0</v>
      </c>
    </row>
    <row r="59" spans="3:10" x14ac:dyDescent="0.25">
      <c r="C59" s="12" t="s">
        <v>260</v>
      </c>
      <c r="D59" s="13" t="s">
        <v>45</v>
      </c>
      <c r="E59" s="14" t="s">
        <v>5</v>
      </c>
      <c r="F59" s="207"/>
      <c r="G59" s="77"/>
      <c r="H59" s="79">
        <f t="shared" si="8"/>
        <v>0</v>
      </c>
      <c r="I59" s="217">
        <f>+F59</f>
        <v>0</v>
      </c>
      <c r="J59" s="79">
        <f>+G59*$J$15/$H$17</f>
        <v>0</v>
      </c>
    </row>
    <row r="60" spans="3:10" x14ac:dyDescent="0.25">
      <c r="C60" s="152"/>
      <c r="D60" s="153" t="s">
        <v>31</v>
      </c>
      <c r="E60" s="154"/>
      <c r="F60" s="155"/>
      <c r="G60" s="156"/>
      <c r="H60" s="157">
        <f>SUM(H42:H59)</f>
        <v>1355500</v>
      </c>
      <c r="I60" s="156"/>
      <c r="J60" s="157">
        <f>SUM(J42:J59)</f>
        <v>2195910.0000000005</v>
      </c>
    </row>
    <row r="61" spans="3:10" x14ac:dyDescent="0.25">
      <c r="C61" s="78"/>
      <c r="D61" s="76" t="s">
        <v>61</v>
      </c>
      <c r="E61" s="30" t="s">
        <v>0</v>
      </c>
      <c r="F61" s="189">
        <f>H9</f>
        <v>0.05</v>
      </c>
      <c r="G61" s="40">
        <f>H60</f>
        <v>1355500</v>
      </c>
      <c r="H61" s="18">
        <f>G61*F61</f>
        <v>67775</v>
      </c>
      <c r="I61" s="40"/>
      <c r="J61" s="18">
        <f>J60*F61</f>
        <v>109795.50000000003</v>
      </c>
    </row>
    <row r="62" spans="3:10" x14ac:dyDescent="0.25">
      <c r="C62" s="152"/>
      <c r="D62" s="153" t="s">
        <v>62</v>
      </c>
      <c r="E62" s="154"/>
      <c r="F62" s="155"/>
      <c r="G62" s="156"/>
      <c r="H62" s="157">
        <f>H61</f>
        <v>67775</v>
      </c>
      <c r="I62" s="156"/>
      <c r="J62" s="157">
        <f>J61</f>
        <v>109795.50000000003</v>
      </c>
    </row>
    <row r="63" spans="3:10" ht="13.8" thickBot="1" x14ac:dyDescent="0.3">
      <c r="C63" s="20"/>
      <c r="D63" s="21" t="s">
        <v>245</v>
      </c>
      <c r="E63" s="41"/>
      <c r="F63" s="42"/>
      <c r="G63" s="43"/>
      <c r="H63" s="138">
        <f>H60+H62</f>
        <v>1423275</v>
      </c>
      <c r="I63" s="43"/>
      <c r="J63" s="138">
        <f>J60+J62</f>
        <v>2305705.5000000005</v>
      </c>
    </row>
    <row r="64" spans="3:10" ht="13.8" thickBot="1" x14ac:dyDescent="0.3">
      <c r="C64" s="19"/>
      <c r="D64" s="19"/>
      <c r="E64" s="19"/>
      <c r="F64" s="19"/>
      <c r="G64" s="44"/>
      <c r="H64" s="62"/>
      <c r="I64" s="62"/>
    </row>
    <row r="65" spans="3:10" x14ac:dyDescent="0.25">
      <c r="C65" s="59">
        <v>3</v>
      </c>
      <c r="D65" s="63" t="s">
        <v>177</v>
      </c>
      <c r="E65" s="64" t="s">
        <v>3</v>
      </c>
      <c r="F65" s="65" t="s">
        <v>4</v>
      </c>
      <c r="G65" s="28" t="s">
        <v>199</v>
      </c>
      <c r="H65" s="66" t="s">
        <v>200</v>
      </c>
      <c r="I65" s="28" t="str">
        <f>+I41</f>
        <v>Cantidad</v>
      </c>
      <c r="J65" s="66" t="str">
        <f>+J41</f>
        <v>Costo Total</v>
      </c>
    </row>
    <row r="66" spans="3:10" x14ac:dyDescent="0.25">
      <c r="C66" s="12" t="s">
        <v>32</v>
      </c>
      <c r="D66" s="13" t="s">
        <v>375</v>
      </c>
      <c r="E66" s="14" t="s">
        <v>74</v>
      </c>
      <c r="F66" s="207">
        <f>+H17</f>
        <v>6000</v>
      </c>
      <c r="G66" s="77">
        <v>60</v>
      </c>
      <c r="H66" s="79">
        <f>F66*G66</f>
        <v>360000</v>
      </c>
      <c r="I66" s="218">
        <f>+$J$15/$H$17*F66</f>
        <v>9720.0000000000018</v>
      </c>
      <c r="J66" s="214">
        <f>+G66*I66</f>
        <v>583200.00000000012</v>
      </c>
    </row>
    <row r="67" spans="3:10" x14ac:dyDescent="0.25">
      <c r="C67" s="12" t="s">
        <v>33</v>
      </c>
      <c r="D67" s="13" t="s">
        <v>26</v>
      </c>
      <c r="E67" s="14" t="s">
        <v>5</v>
      </c>
      <c r="F67" s="207"/>
      <c r="G67" s="77"/>
      <c r="H67" s="79">
        <f t="shared" ref="H67:H77" si="9">F67*G67</f>
        <v>0</v>
      </c>
      <c r="I67" s="216">
        <f>+$J$15/$H$17*F67</f>
        <v>0</v>
      </c>
      <c r="J67" s="214">
        <f>+G67*I67</f>
        <v>0</v>
      </c>
    </row>
    <row r="68" spans="3:10" x14ac:dyDescent="0.25">
      <c r="C68" s="12" t="s">
        <v>34</v>
      </c>
      <c r="D68" s="13" t="s">
        <v>28</v>
      </c>
      <c r="E68" s="14" t="s">
        <v>5</v>
      </c>
      <c r="F68" s="207"/>
      <c r="G68" s="77"/>
      <c r="H68" s="79">
        <f t="shared" si="9"/>
        <v>0</v>
      </c>
      <c r="I68" s="216">
        <f t="shared" ref="I68:I76" si="10">+$J$15/$H$17*F68</f>
        <v>0</v>
      </c>
      <c r="J68" s="214">
        <f t="shared" ref="J68:J76" si="11">+G68*I68</f>
        <v>0</v>
      </c>
    </row>
    <row r="69" spans="3:10" x14ac:dyDescent="0.25">
      <c r="C69" s="12" t="s">
        <v>35</v>
      </c>
      <c r="D69" s="13" t="s">
        <v>29</v>
      </c>
      <c r="E69" s="14" t="s">
        <v>5</v>
      </c>
      <c r="F69" s="207"/>
      <c r="G69" s="77"/>
      <c r="H69" s="79">
        <f t="shared" si="9"/>
        <v>0</v>
      </c>
      <c r="I69" s="216">
        <f t="shared" si="10"/>
        <v>0</v>
      </c>
      <c r="J69" s="214">
        <f t="shared" si="11"/>
        <v>0</v>
      </c>
    </row>
    <row r="70" spans="3:10" x14ac:dyDescent="0.25">
      <c r="C70" s="12" t="s">
        <v>36</v>
      </c>
      <c r="D70" s="13" t="s">
        <v>116</v>
      </c>
      <c r="E70" s="14" t="s">
        <v>5</v>
      </c>
      <c r="F70" s="207"/>
      <c r="G70" s="77"/>
      <c r="H70" s="79">
        <f t="shared" si="9"/>
        <v>0</v>
      </c>
      <c r="I70" s="216">
        <f t="shared" si="10"/>
        <v>0</v>
      </c>
      <c r="J70" s="214">
        <f t="shared" si="11"/>
        <v>0</v>
      </c>
    </row>
    <row r="71" spans="3:10" x14ac:dyDescent="0.25">
      <c r="C71" s="12" t="s">
        <v>37</v>
      </c>
      <c r="D71" s="13" t="s">
        <v>125</v>
      </c>
      <c r="E71" s="14" t="s">
        <v>5</v>
      </c>
      <c r="F71" s="207"/>
      <c r="G71" s="77"/>
      <c r="H71" s="79">
        <f t="shared" si="9"/>
        <v>0</v>
      </c>
      <c r="I71" s="216">
        <f t="shared" si="10"/>
        <v>0</v>
      </c>
      <c r="J71" s="214">
        <f t="shared" si="11"/>
        <v>0</v>
      </c>
    </row>
    <row r="72" spans="3:10" x14ac:dyDescent="0.25">
      <c r="C72" s="12" t="s">
        <v>39</v>
      </c>
      <c r="D72" s="13" t="s">
        <v>126</v>
      </c>
      <c r="E72" s="14" t="s">
        <v>5</v>
      </c>
      <c r="F72" s="207"/>
      <c r="G72" s="77"/>
      <c r="H72" s="79">
        <f t="shared" si="9"/>
        <v>0</v>
      </c>
      <c r="I72" s="216">
        <f t="shared" si="10"/>
        <v>0</v>
      </c>
      <c r="J72" s="214">
        <f t="shared" si="11"/>
        <v>0</v>
      </c>
    </row>
    <row r="73" spans="3:10" x14ac:dyDescent="0.25">
      <c r="C73" s="12" t="s">
        <v>40</v>
      </c>
      <c r="D73" s="13" t="s">
        <v>63</v>
      </c>
      <c r="E73" s="14" t="s">
        <v>5</v>
      </c>
      <c r="F73" s="207"/>
      <c r="G73" s="77"/>
      <c r="H73" s="79">
        <f t="shared" si="9"/>
        <v>0</v>
      </c>
      <c r="I73" s="216">
        <f t="shared" si="10"/>
        <v>0</v>
      </c>
      <c r="J73" s="214">
        <f t="shared" si="11"/>
        <v>0</v>
      </c>
    </row>
    <row r="74" spans="3:10" x14ac:dyDescent="0.25">
      <c r="C74" s="12" t="s">
        <v>41</v>
      </c>
      <c r="D74" s="13" t="s">
        <v>376</v>
      </c>
      <c r="E74" s="14"/>
      <c r="F74" s="77">
        <v>80</v>
      </c>
      <c r="G74" s="77">
        <v>35000</v>
      </c>
      <c r="H74" s="79">
        <f t="shared" si="9"/>
        <v>2800000</v>
      </c>
      <c r="I74" s="216">
        <f t="shared" si="10"/>
        <v>129.60000000000002</v>
      </c>
      <c r="J74" s="214">
        <f t="shared" si="11"/>
        <v>4536000.0000000009</v>
      </c>
    </row>
    <row r="75" spans="3:10" x14ac:dyDescent="0.25">
      <c r="C75" s="12" t="s">
        <v>64</v>
      </c>
      <c r="D75" s="13"/>
      <c r="E75" s="14"/>
      <c r="F75" s="207"/>
      <c r="G75" s="77"/>
      <c r="H75" s="79">
        <f t="shared" si="9"/>
        <v>0</v>
      </c>
      <c r="I75" s="216">
        <f t="shared" si="10"/>
        <v>0</v>
      </c>
      <c r="J75" s="214">
        <f t="shared" si="11"/>
        <v>0</v>
      </c>
    </row>
    <row r="76" spans="3:10" x14ac:dyDescent="0.25">
      <c r="C76" s="12" t="s">
        <v>65</v>
      </c>
      <c r="D76" s="13"/>
      <c r="E76" s="14"/>
      <c r="F76" s="207"/>
      <c r="G76" s="77"/>
      <c r="H76" s="79">
        <f t="shared" si="9"/>
        <v>0</v>
      </c>
      <c r="I76" s="216">
        <f t="shared" si="10"/>
        <v>0</v>
      </c>
      <c r="J76" s="214">
        <f t="shared" si="11"/>
        <v>0</v>
      </c>
    </row>
    <row r="77" spans="3:10" x14ac:dyDescent="0.25">
      <c r="C77" s="12" t="s">
        <v>66</v>
      </c>
      <c r="D77" s="13" t="s">
        <v>30</v>
      </c>
      <c r="E77" s="14" t="s">
        <v>5</v>
      </c>
      <c r="F77" s="207"/>
      <c r="G77" s="77"/>
      <c r="H77" s="79">
        <f t="shared" si="9"/>
        <v>0</v>
      </c>
      <c r="I77" s="218">
        <f>+F77</f>
        <v>0</v>
      </c>
      <c r="J77" s="79">
        <f>+G77*$J$15/$H$17</f>
        <v>0</v>
      </c>
    </row>
    <row r="78" spans="3:10" x14ac:dyDescent="0.25">
      <c r="C78" s="152"/>
      <c r="D78" s="153" t="s">
        <v>46</v>
      </c>
      <c r="E78" s="154"/>
      <c r="F78" s="155"/>
      <c r="G78" s="156"/>
      <c r="H78" s="157">
        <f>SUM(H66:H77)</f>
        <v>3160000</v>
      </c>
      <c r="I78" s="156"/>
      <c r="J78" s="215">
        <f>SUM(J66:J77)</f>
        <v>5119200.0000000009</v>
      </c>
    </row>
    <row r="79" spans="3:10" x14ac:dyDescent="0.25">
      <c r="C79" s="78"/>
      <c r="D79" s="76" t="s">
        <v>47</v>
      </c>
      <c r="E79" s="30" t="s">
        <v>0</v>
      </c>
      <c r="F79" s="189">
        <f>H9</f>
        <v>0.05</v>
      </c>
      <c r="G79" s="40">
        <f>H78</f>
        <v>3160000</v>
      </c>
      <c r="H79" s="18">
        <f>G79*F79</f>
        <v>158000</v>
      </c>
      <c r="I79" s="40"/>
      <c r="J79" s="18">
        <f>J78*F79</f>
        <v>255960.00000000006</v>
      </c>
    </row>
    <row r="80" spans="3:10" x14ac:dyDescent="0.25">
      <c r="C80" s="152"/>
      <c r="D80" s="153" t="s">
        <v>68</v>
      </c>
      <c r="E80" s="154"/>
      <c r="F80" s="155"/>
      <c r="G80" s="156"/>
      <c r="H80" s="157">
        <f>H79</f>
        <v>158000</v>
      </c>
      <c r="I80" s="156"/>
      <c r="J80" s="157">
        <f>J79</f>
        <v>255960.00000000006</v>
      </c>
    </row>
    <row r="81" spans="1:10" ht="13.8" thickBot="1" x14ac:dyDescent="0.3">
      <c r="C81" s="20"/>
      <c r="D81" s="21" t="s">
        <v>252</v>
      </c>
      <c r="E81" s="41"/>
      <c r="F81" s="42"/>
      <c r="G81" s="43"/>
      <c r="H81" s="138">
        <f>H78+H80</f>
        <v>3318000</v>
      </c>
      <c r="I81" s="43"/>
      <c r="J81" s="138">
        <f>J78+J80</f>
        <v>5375160.0000000009</v>
      </c>
    </row>
    <row r="82" spans="1:10" ht="13.8" thickBot="1" x14ac:dyDescent="0.3">
      <c r="C82" s="19"/>
      <c r="D82" s="19"/>
      <c r="E82" s="19"/>
      <c r="F82" s="19"/>
      <c r="G82" s="19"/>
      <c r="H82" s="19"/>
      <c r="I82" s="284"/>
      <c r="J82" s="285"/>
    </row>
    <row r="83" spans="1:10" x14ac:dyDescent="0.25">
      <c r="C83" s="59">
        <v>4</v>
      </c>
      <c r="D83" s="63" t="s">
        <v>395</v>
      </c>
      <c r="E83" s="64" t="s">
        <v>3</v>
      </c>
      <c r="F83" s="65" t="s">
        <v>4</v>
      </c>
      <c r="G83" s="28" t="s">
        <v>199</v>
      </c>
      <c r="H83" s="66" t="s">
        <v>200</v>
      </c>
      <c r="I83" s="284"/>
      <c r="J83" s="285"/>
    </row>
    <row r="84" spans="1:10" x14ac:dyDescent="0.25">
      <c r="C84" s="81" t="s">
        <v>131</v>
      </c>
      <c r="D84" s="13" t="s">
        <v>71</v>
      </c>
      <c r="E84" s="14" t="s">
        <v>74</v>
      </c>
      <c r="F84" s="207">
        <f>H17</f>
        <v>6000</v>
      </c>
      <c r="G84" s="77">
        <v>60</v>
      </c>
      <c r="H84" s="79">
        <f t="shared" ref="H84" si="12">F84*G84</f>
        <v>360000</v>
      </c>
      <c r="I84" s="284"/>
      <c r="J84" s="285"/>
    </row>
    <row r="85" spans="1:10" x14ac:dyDescent="0.25">
      <c r="C85" s="81" t="s">
        <v>132</v>
      </c>
      <c r="D85" s="76"/>
      <c r="E85" s="30"/>
      <c r="F85" s="207"/>
      <c r="G85" s="77"/>
      <c r="H85" s="79">
        <f t="shared" ref="H85:H86" si="13">G85*F85</f>
        <v>0</v>
      </c>
      <c r="I85" s="284"/>
      <c r="J85" s="285"/>
    </row>
    <row r="86" spans="1:10" x14ac:dyDescent="0.25">
      <c r="C86" s="81" t="s">
        <v>133</v>
      </c>
      <c r="D86" s="76"/>
      <c r="E86" s="30"/>
      <c r="F86" s="207"/>
      <c r="G86" s="77"/>
      <c r="H86" s="79">
        <f t="shared" si="13"/>
        <v>0</v>
      </c>
      <c r="I86" s="284"/>
      <c r="J86" s="285"/>
    </row>
    <row r="87" spans="1:10" x14ac:dyDescent="0.25">
      <c r="C87" s="152"/>
      <c r="D87" s="153" t="s">
        <v>397</v>
      </c>
      <c r="E87" s="154"/>
      <c r="F87" s="155"/>
      <c r="G87" s="156"/>
      <c r="H87" s="157">
        <f>SUM(H84:H86)</f>
        <v>360000</v>
      </c>
      <c r="I87" s="284"/>
      <c r="J87" s="285"/>
    </row>
    <row r="88" spans="1:10" x14ac:dyDescent="0.25">
      <c r="C88" s="78"/>
      <c r="D88" s="76" t="s">
        <v>1</v>
      </c>
      <c r="E88" s="30"/>
      <c r="F88" s="17">
        <v>0.05</v>
      </c>
      <c r="G88" s="40">
        <f>H87</f>
        <v>360000</v>
      </c>
      <c r="H88" s="18">
        <f>G88*F88</f>
        <v>18000</v>
      </c>
      <c r="I88" s="284"/>
      <c r="J88" s="285"/>
    </row>
    <row r="89" spans="1:10" x14ac:dyDescent="0.25">
      <c r="C89" s="152"/>
      <c r="D89" s="153" t="s">
        <v>400</v>
      </c>
      <c r="E89" s="154"/>
      <c r="F89" s="155"/>
      <c r="G89" s="156"/>
      <c r="H89" s="157">
        <f>SUM(H88)</f>
        <v>18000</v>
      </c>
      <c r="I89" s="284"/>
      <c r="J89" s="285"/>
    </row>
    <row r="90" spans="1:10" ht="13.8" thickBot="1" x14ac:dyDescent="0.3">
      <c r="C90" s="140"/>
      <c r="D90" s="99" t="s">
        <v>396</v>
      </c>
      <c r="E90" s="21"/>
      <c r="F90" s="141"/>
      <c r="G90" s="142"/>
      <c r="H90" s="139">
        <f>H89+H87</f>
        <v>378000</v>
      </c>
      <c r="I90" s="284"/>
      <c r="J90" s="285"/>
    </row>
    <row r="91" spans="1:10" ht="13.8" thickBot="1" x14ac:dyDescent="0.3">
      <c r="C91" s="19"/>
      <c r="D91" s="19"/>
      <c r="E91" s="19"/>
      <c r="F91" s="19"/>
      <c r="G91" s="44"/>
      <c r="H91" s="62"/>
      <c r="I91" s="62"/>
    </row>
    <row r="92" spans="1:10" x14ac:dyDescent="0.25">
      <c r="A92" s="9"/>
      <c r="C92" s="146">
        <v>5</v>
      </c>
      <c r="D92" s="27" t="s">
        <v>278</v>
      </c>
      <c r="E92" s="64" t="s">
        <v>3</v>
      </c>
      <c r="F92" s="65" t="s">
        <v>4</v>
      </c>
      <c r="G92" s="28" t="s">
        <v>199</v>
      </c>
      <c r="H92" s="66" t="s">
        <v>200</v>
      </c>
      <c r="I92" s="28" t="e">
        <f>+#REF!</f>
        <v>#REF!</v>
      </c>
      <c r="J92" s="66" t="e">
        <f>+#REF!</f>
        <v>#REF!</v>
      </c>
    </row>
    <row r="93" spans="1:10" ht="12.75" customHeight="1" x14ac:dyDescent="0.25">
      <c r="A93" s="9"/>
      <c r="C93" s="12" t="s">
        <v>280</v>
      </c>
      <c r="D93" s="13" t="s">
        <v>337</v>
      </c>
      <c r="E93" s="14" t="s">
        <v>5</v>
      </c>
      <c r="F93" s="207">
        <v>1</v>
      </c>
      <c r="G93" s="77">
        <v>380000</v>
      </c>
      <c r="H93" s="79">
        <f t="shared" ref="H93" si="14">F93*G93</f>
        <v>380000</v>
      </c>
      <c r="I93" s="77">
        <f>+$J$15/$H$17*F93</f>
        <v>1.6200000000000003</v>
      </c>
      <c r="J93" s="79">
        <f>+I93*G93</f>
        <v>615600.00000000012</v>
      </c>
    </row>
    <row r="94" spans="1:10" ht="12.75" customHeight="1" x14ac:dyDescent="0.25">
      <c r="A94" s="9"/>
      <c r="C94" s="12" t="s">
        <v>281</v>
      </c>
      <c r="D94" s="13" t="s">
        <v>279</v>
      </c>
      <c r="E94" s="14" t="s">
        <v>5</v>
      </c>
      <c r="F94" s="207"/>
      <c r="G94" s="77"/>
      <c r="H94" s="79">
        <f t="shared" ref="H94:H98" si="15">F94*G94</f>
        <v>0</v>
      </c>
      <c r="I94" s="77">
        <f>+$J$15/$H$17*F94</f>
        <v>0</v>
      </c>
      <c r="J94" s="79">
        <f>+I94*G94</f>
        <v>0</v>
      </c>
    </row>
    <row r="95" spans="1:10" ht="12.75" customHeight="1" x14ac:dyDescent="0.25">
      <c r="A95" s="9"/>
      <c r="C95" s="12" t="s">
        <v>282</v>
      </c>
      <c r="D95" s="13"/>
      <c r="E95" s="14"/>
      <c r="F95" s="207"/>
      <c r="G95" s="77"/>
      <c r="H95" s="79">
        <f t="shared" si="15"/>
        <v>0</v>
      </c>
      <c r="I95" s="77">
        <f>+$J$15/$H$17*F95</f>
        <v>0</v>
      </c>
      <c r="J95" s="79">
        <f>+I95*G95</f>
        <v>0</v>
      </c>
    </row>
    <row r="96" spans="1:10" ht="12.75" customHeight="1" x14ac:dyDescent="0.25">
      <c r="A96" s="9"/>
      <c r="C96" s="12" t="s">
        <v>283</v>
      </c>
      <c r="D96" s="13"/>
      <c r="E96" s="14"/>
      <c r="F96" s="207"/>
      <c r="G96" s="77"/>
      <c r="H96" s="79">
        <f t="shared" si="15"/>
        <v>0</v>
      </c>
      <c r="I96" s="77">
        <f>+$J$15/$H$17*F96</f>
        <v>0</v>
      </c>
      <c r="J96" s="79">
        <f>+I96*G96</f>
        <v>0</v>
      </c>
    </row>
    <row r="97" spans="1:13" ht="12.75" customHeight="1" x14ac:dyDescent="0.25">
      <c r="A97" s="9"/>
      <c r="C97" s="12" t="s">
        <v>300</v>
      </c>
      <c r="D97" s="13"/>
      <c r="E97" s="14"/>
      <c r="F97" s="207"/>
      <c r="G97" s="77"/>
      <c r="H97" s="79">
        <f t="shared" si="15"/>
        <v>0</v>
      </c>
      <c r="I97" s="77">
        <f>+$J$15/$H$17*F97</f>
        <v>0</v>
      </c>
      <c r="J97" s="79">
        <f>+I97*G97</f>
        <v>0</v>
      </c>
    </row>
    <row r="98" spans="1:13" x14ac:dyDescent="0.25">
      <c r="A98" s="9"/>
      <c r="C98" s="12" t="s">
        <v>301</v>
      </c>
      <c r="D98" s="13" t="s">
        <v>48</v>
      </c>
      <c r="E98" s="14" t="s">
        <v>5</v>
      </c>
      <c r="F98" s="207"/>
      <c r="G98" s="77"/>
      <c r="H98" s="79">
        <f t="shared" si="15"/>
        <v>0</v>
      </c>
      <c r="I98" s="77">
        <f>+F98</f>
        <v>0</v>
      </c>
      <c r="J98" s="79">
        <f>+G98*$J$15/$H$17</f>
        <v>0</v>
      </c>
    </row>
    <row r="99" spans="1:13" x14ac:dyDescent="0.25">
      <c r="A99" s="31"/>
      <c r="C99" s="152"/>
      <c r="D99" s="153" t="s">
        <v>284</v>
      </c>
      <c r="E99" s="154"/>
      <c r="F99" s="155"/>
      <c r="G99" s="156"/>
      <c r="H99" s="157">
        <f>SUM(H93:H98)</f>
        <v>380000</v>
      </c>
      <c r="I99" s="156"/>
      <c r="J99" s="157">
        <f>SUM(J93:J98)</f>
        <v>615600.00000000012</v>
      </c>
    </row>
    <row r="100" spans="1:13" x14ac:dyDescent="0.25">
      <c r="A100" s="31"/>
      <c r="C100" s="78"/>
      <c r="D100" s="76" t="s">
        <v>193</v>
      </c>
      <c r="E100" s="30" t="s">
        <v>5</v>
      </c>
      <c r="F100" s="189">
        <f>H9</f>
        <v>0.05</v>
      </c>
      <c r="G100" s="40">
        <f>H99</f>
        <v>380000</v>
      </c>
      <c r="H100" s="18">
        <f>G100*F100</f>
        <v>19000</v>
      </c>
      <c r="I100" s="40"/>
      <c r="J100" s="18">
        <f>J99*F100</f>
        <v>30780.000000000007</v>
      </c>
    </row>
    <row r="101" spans="1:13" x14ac:dyDescent="0.25">
      <c r="A101" s="9"/>
      <c r="C101" s="152"/>
      <c r="D101" s="153" t="s">
        <v>285</v>
      </c>
      <c r="E101" s="154"/>
      <c r="F101" s="155"/>
      <c r="G101" s="156"/>
      <c r="H101" s="157">
        <f>H100</f>
        <v>19000</v>
      </c>
      <c r="I101" s="156"/>
      <c r="J101" s="157">
        <f>J100</f>
        <v>30780.000000000007</v>
      </c>
    </row>
    <row r="102" spans="1:13" ht="13.8" thickBot="1" x14ac:dyDescent="0.3">
      <c r="A102" s="9"/>
      <c r="C102" s="32"/>
      <c r="D102" s="21" t="s">
        <v>286</v>
      </c>
      <c r="E102" s="22"/>
      <c r="F102" s="23"/>
      <c r="G102" s="24"/>
      <c r="H102" s="138">
        <f>H99+H101</f>
        <v>399000</v>
      </c>
      <c r="I102" s="24"/>
      <c r="J102" s="138">
        <f>J99+J101</f>
        <v>646380.00000000012</v>
      </c>
    </row>
    <row r="103" spans="1:13" x14ac:dyDescent="0.25">
      <c r="A103" s="9"/>
      <c r="C103" s="19"/>
      <c r="D103" s="19"/>
      <c r="E103" s="19"/>
      <c r="F103" s="19"/>
      <c r="G103" s="19"/>
      <c r="H103" s="33"/>
      <c r="I103" s="33"/>
    </row>
    <row r="104" spans="1:13" x14ac:dyDescent="0.25">
      <c r="C104" s="378" t="s">
        <v>236</v>
      </c>
      <c r="D104" s="379"/>
      <c r="E104" s="379"/>
      <c r="F104" s="379"/>
      <c r="G104" s="379"/>
      <c r="H104" s="379"/>
      <c r="I104" s="379"/>
      <c r="J104" s="379"/>
      <c r="M104" s="4"/>
    </row>
    <row r="105" spans="1:13" x14ac:dyDescent="0.25">
      <c r="C105" s="90"/>
      <c r="D105" s="85" t="s">
        <v>237</v>
      </c>
      <c r="E105" s="83"/>
      <c r="F105" s="86"/>
      <c r="G105" s="87"/>
      <c r="H105" s="91">
        <f>H36+H60+H78+H99+H87</f>
        <v>8035500</v>
      </c>
      <c r="I105" s="212"/>
      <c r="J105" s="91" t="e">
        <f>J36+J60+J78+#REF!+J99</f>
        <v>#REF!</v>
      </c>
    </row>
    <row r="106" spans="1:13" x14ac:dyDescent="0.25">
      <c r="C106" s="90"/>
      <c r="D106" s="85" t="s">
        <v>238</v>
      </c>
      <c r="E106" s="83"/>
      <c r="F106" s="86"/>
      <c r="G106" s="87"/>
      <c r="H106" s="91">
        <f>H38+H62+H80+H101+H89</f>
        <v>401775</v>
      </c>
      <c r="I106" s="212"/>
      <c r="J106" s="91" t="e">
        <f>J38+J62+J80+#REF!+J101</f>
        <v>#REF!</v>
      </c>
    </row>
    <row r="107" spans="1:13" x14ac:dyDescent="0.25">
      <c r="C107" s="90"/>
      <c r="D107" s="85" t="s">
        <v>239</v>
      </c>
      <c r="E107" s="83"/>
      <c r="F107" s="86"/>
      <c r="G107" s="87"/>
      <c r="H107" s="91">
        <f>SUM(H105:H106)</f>
        <v>8437275</v>
      </c>
      <c r="I107" s="212"/>
      <c r="J107" s="91" t="e">
        <f>SUM(J105:J106)</f>
        <v>#REF!</v>
      </c>
    </row>
    <row r="108" spans="1:13" ht="14.4" thickBot="1" x14ac:dyDescent="0.3">
      <c r="C108" s="98"/>
      <c r="D108" s="97" t="s">
        <v>240</v>
      </c>
      <c r="E108" s="93"/>
      <c r="F108" s="93"/>
      <c r="G108" s="93"/>
      <c r="H108" s="144">
        <f>IFERROR(H107/H17,0)</f>
        <v>1406.2125000000001</v>
      </c>
      <c r="I108" s="179"/>
    </row>
    <row r="109" spans="1:13" x14ac:dyDescent="0.25">
      <c r="A109" s="4"/>
      <c r="B109" s="4"/>
      <c r="C109" s="5"/>
      <c r="D109" s="5"/>
    </row>
    <row r="110" spans="1:13" x14ac:dyDescent="0.25">
      <c r="A110" s="4"/>
      <c r="B110" s="4"/>
      <c r="C110" s="5"/>
      <c r="D110" s="5"/>
    </row>
  </sheetData>
  <mergeCells count="21">
    <mergeCell ref="C2:H2"/>
    <mergeCell ref="F16:G16"/>
    <mergeCell ref="F17:G17"/>
    <mergeCell ref="D4:F4"/>
    <mergeCell ref="E5:F5"/>
    <mergeCell ref="E6:F6"/>
    <mergeCell ref="E7:F7"/>
    <mergeCell ref="E8:F8"/>
    <mergeCell ref="E9:F9"/>
    <mergeCell ref="E11:F11"/>
    <mergeCell ref="E10:F10"/>
    <mergeCell ref="F14:G14"/>
    <mergeCell ref="C104:J104"/>
    <mergeCell ref="F15:G15"/>
    <mergeCell ref="F13:H13"/>
    <mergeCell ref="D13:E13"/>
    <mergeCell ref="H5:H8"/>
    <mergeCell ref="C18:H18"/>
    <mergeCell ref="J13:J14"/>
    <mergeCell ref="I18:J18"/>
    <mergeCell ref="J5:J6"/>
  </mergeCells>
  <dataValidations disablePrompts="1" count="3">
    <dataValidation type="list" allowBlank="1" showInputMessage="1" showErrorMessage="1" sqref="E66" xr:uid="{00000000-0002-0000-0400-000000000000}">
      <formula1>"Global,kg"</formula1>
    </dataValidation>
    <dataValidation type="list" allowBlank="1" showInputMessage="1" showErrorMessage="1" sqref="E50" xr:uid="{00000000-0002-0000-0400-000001000000}">
      <formula1>"unidad,kg empacado,rollo"</formula1>
    </dataValidation>
    <dataValidation type="list" allowBlank="1" showInputMessage="1" showErrorMessage="1" sqref="J7" xr:uid="{00000000-0002-0000-0400-000002000000}">
      <formula1>"Calculado,1 a 10"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scale="70" orientation="portrait" horizontalDpi="4294967292" r:id="rId1"/>
  <headerFooter>
    <oddHeader>&amp;C&amp;"Arial,Negrita"&amp;11
&amp;F</oddHeader>
    <oddFooter>&amp;CFederación Nacional de productores de panela - Fedepanela
Programa Comercial</oddFooter>
  </headerFooter>
  <rowBreaks count="1" manualBreakCount="1">
    <brk id="64" min="1" max="10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</sheetPr>
  <dimension ref="B1:I43"/>
  <sheetViews>
    <sheetView topLeftCell="A20" workbookViewId="0">
      <selection activeCell="F50" sqref="F50"/>
    </sheetView>
  </sheetViews>
  <sheetFormatPr baseColWidth="10" defaultRowHeight="13.2" x14ac:dyDescent="0.25"/>
  <cols>
    <col min="1" max="1" width="2.109375" customWidth="1"/>
    <col min="2" max="2" width="4.5546875" bestFit="1" customWidth="1"/>
    <col min="3" max="3" width="40.109375" customWidth="1"/>
    <col min="4" max="4" width="7.88671875" bestFit="1" customWidth="1"/>
    <col min="5" max="5" width="32.109375" customWidth="1"/>
    <col min="6" max="6" width="19" customWidth="1"/>
    <col min="7" max="7" width="22.5546875" customWidth="1"/>
  </cols>
  <sheetData>
    <row r="1" spans="2:9" ht="13.8" thickBot="1" x14ac:dyDescent="0.3">
      <c r="B1" s="3"/>
      <c r="C1" s="3"/>
      <c r="D1" s="3"/>
      <c r="E1" s="3"/>
      <c r="F1" s="61"/>
      <c r="G1" s="3"/>
    </row>
    <row r="2" spans="2:9" ht="16.2" thickBot="1" x14ac:dyDescent="0.35">
      <c r="B2" s="391" t="s">
        <v>406</v>
      </c>
      <c r="C2" s="392"/>
      <c r="D2" s="392"/>
      <c r="E2" s="392"/>
      <c r="F2" s="392"/>
      <c r="G2" s="393"/>
    </row>
    <row r="3" spans="2:9" ht="13.8" thickBot="1" x14ac:dyDescent="0.3"/>
    <row r="4" spans="2:9" ht="13.8" thickBot="1" x14ac:dyDescent="0.3">
      <c r="C4" s="368" t="s">
        <v>275</v>
      </c>
      <c r="D4" s="369"/>
      <c r="E4" s="370"/>
    </row>
    <row r="5" spans="2:9" ht="13.8" thickBot="1" x14ac:dyDescent="0.3">
      <c r="C5" s="159" t="s">
        <v>263</v>
      </c>
      <c r="D5" s="406" t="str">
        <f>'Costos siembra nueva'!E6</f>
        <v>enero de 2025</v>
      </c>
      <c r="E5" s="407"/>
      <c r="F5" s="4"/>
      <c r="G5" s="305" t="s">
        <v>1</v>
      </c>
      <c r="I5" s="286"/>
    </row>
    <row r="6" spans="2:9" ht="13.8" thickBot="1" x14ac:dyDescent="0.3">
      <c r="C6" s="283" t="s">
        <v>264</v>
      </c>
      <c r="D6" s="406" t="str">
        <f>'Costos siembra nueva'!E7</f>
        <v>Cundinamarca</v>
      </c>
      <c r="E6" s="407"/>
      <c r="F6" s="4"/>
      <c r="G6" s="306"/>
    </row>
    <row r="7" spans="2:9" ht="13.8" thickBot="1" x14ac:dyDescent="0.3">
      <c r="C7" s="283" t="s">
        <v>265</v>
      </c>
      <c r="D7" s="406" t="str">
        <f>'Costos siembra nueva'!E8</f>
        <v>Utica</v>
      </c>
      <c r="E7" s="407"/>
      <c r="F7" s="4"/>
      <c r="G7" s="306"/>
    </row>
    <row r="8" spans="2:9" ht="13.8" thickBot="1" x14ac:dyDescent="0.3">
      <c r="C8" s="283" t="s">
        <v>266</v>
      </c>
      <c r="D8" s="406" t="str">
        <f>'Costos siembra nueva'!E9</f>
        <v>La Abuelita</v>
      </c>
      <c r="E8" s="407"/>
      <c r="F8" s="4"/>
      <c r="G8" s="306"/>
    </row>
    <row r="9" spans="2:9" ht="13.8" thickBot="1" x14ac:dyDescent="0.3">
      <c r="C9" s="283" t="s">
        <v>267</v>
      </c>
      <c r="D9" s="404">
        <f>'Costos siembra nueva'!E10</f>
        <v>0</v>
      </c>
      <c r="E9" s="405"/>
      <c r="F9" s="4"/>
      <c r="G9" s="208">
        <f>Cosecha!H13</f>
        <v>0.05</v>
      </c>
    </row>
    <row r="10" spans="2:9" ht="13.8" thickBot="1" x14ac:dyDescent="0.3">
      <c r="C10" s="162" t="s">
        <v>276</v>
      </c>
      <c r="D10" s="404">
        <f>'Costos siembra nueva'!E11</f>
        <v>0</v>
      </c>
      <c r="E10" s="405"/>
      <c r="F10" s="4"/>
      <c r="G10" s="4"/>
    </row>
    <row r="11" spans="2:9" ht="13.8" thickBot="1" x14ac:dyDescent="0.3">
      <c r="C11" s="161" t="s">
        <v>268</v>
      </c>
      <c r="D11" s="406" t="str">
        <f>'Costos siembra nueva'!E12</f>
        <v>Crisantos Bustos</v>
      </c>
      <c r="E11" s="407"/>
      <c r="F11" s="4"/>
      <c r="G11" s="4"/>
    </row>
    <row r="12" spans="2:9" ht="13.8" thickBot="1" x14ac:dyDescent="0.3">
      <c r="B12" s="158"/>
      <c r="C12" s="147"/>
      <c r="D12" s="4"/>
      <c r="E12" s="4"/>
      <c r="F12" s="4"/>
      <c r="G12" s="4"/>
    </row>
    <row r="13" spans="2:9" ht="13.8" thickBot="1" x14ac:dyDescent="0.3">
      <c r="B13" s="3"/>
      <c r="C13" s="382" t="s">
        <v>98</v>
      </c>
      <c r="D13" s="385"/>
      <c r="E13" s="382" t="s">
        <v>307</v>
      </c>
      <c r="F13" s="383"/>
      <c r="G13" s="384"/>
    </row>
    <row r="14" spans="2:9" x14ac:dyDescent="0.25">
      <c r="B14" s="3"/>
      <c r="C14" s="168" t="s">
        <v>256</v>
      </c>
      <c r="D14" s="169">
        <v>18</v>
      </c>
      <c r="E14" s="400" t="s">
        <v>70</v>
      </c>
      <c r="F14" s="401"/>
      <c r="G14" s="171">
        <v>15</v>
      </c>
    </row>
    <row r="15" spans="2:9" x14ac:dyDescent="0.25">
      <c r="B15" s="3"/>
      <c r="C15" s="167" t="s">
        <v>80</v>
      </c>
      <c r="D15" s="170">
        <v>95</v>
      </c>
      <c r="E15" s="380" t="s">
        <v>115</v>
      </c>
      <c r="F15" s="381"/>
      <c r="G15" s="57">
        <v>1</v>
      </c>
    </row>
    <row r="16" spans="2:9" x14ac:dyDescent="0.25">
      <c r="B16" s="3"/>
      <c r="C16" s="167" t="s">
        <v>99</v>
      </c>
      <c r="D16" s="165">
        <v>60</v>
      </c>
      <c r="E16" s="380" t="s">
        <v>69</v>
      </c>
      <c r="F16" s="381"/>
      <c r="G16" s="57">
        <v>4</v>
      </c>
    </row>
    <row r="17" spans="2:7" ht="13.8" thickBot="1" x14ac:dyDescent="0.3">
      <c r="B17" s="3"/>
      <c r="C17" s="172" t="s">
        <v>102</v>
      </c>
      <c r="D17" s="166">
        <v>3</v>
      </c>
      <c r="E17" s="394" t="s">
        <v>10</v>
      </c>
      <c r="F17" s="395"/>
      <c r="G17" s="280">
        <v>6000</v>
      </c>
    </row>
    <row r="19" spans="2:7" ht="13.8" thickBot="1" x14ac:dyDescent="0.3"/>
    <row r="20" spans="2:7" x14ac:dyDescent="0.25">
      <c r="B20" s="59">
        <v>1</v>
      </c>
      <c r="C20" s="27" t="s">
        <v>261</v>
      </c>
      <c r="D20" s="64" t="s">
        <v>3</v>
      </c>
      <c r="E20" s="65" t="s">
        <v>4</v>
      </c>
      <c r="F20" s="28" t="s">
        <v>199</v>
      </c>
      <c r="G20" s="66" t="s">
        <v>200</v>
      </c>
    </row>
    <row r="21" spans="2:7" x14ac:dyDescent="0.25">
      <c r="B21" s="12" t="s">
        <v>13</v>
      </c>
      <c r="C21" s="13" t="s">
        <v>336</v>
      </c>
      <c r="D21" s="14" t="s">
        <v>306</v>
      </c>
      <c r="E21" s="207"/>
      <c r="F21" s="77"/>
      <c r="G21" s="79">
        <f t="shared" ref="G21:G33" si="0">E21*F21</f>
        <v>0</v>
      </c>
    </row>
    <row r="22" spans="2:7" x14ac:dyDescent="0.25">
      <c r="B22" s="12" t="s">
        <v>14</v>
      </c>
      <c r="C22" s="13" t="s">
        <v>146</v>
      </c>
      <c r="D22" s="14" t="s">
        <v>118</v>
      </c>
      <c r="E22" s="207"/>
      <c r="F22" s="77"/>
      <c r="G22" s="79">
        <f t="shared" si="0"/>
        <v>0</v>
      </c>
    </row>
    <row r="23" spans="2:7" x14ac:dyDescent="0.25">
      <c r="B23" s="12" t="s">
        <v>16</v>
      </c>
      <c r="C23" s="13" t="s">
        <v>148</v>
      </c>
      <c r="D23" s="14" t="s">
        <v>118</v>
      </c>
      <c r="E23" s="207"/>
      <c r="F23" s="77"/>
      <c r="G23" s="79">
        <f t="shared" si="0"/>
        <v>0</v>
      </c>
    </row>
    <row r="24" spans="2:7" x14ac:dyDescent="0.25">
      <c r="B24" s="12" t="s">
        <v>17</v>
      </c>
      <c r="C24" s="13" t="s">
        <v>147</v>
      </c>
      <c r="D24" s="14" t="s">
        <v>118</v>
      </c>
      <c r="E24" s="207"/>
      <c r="F24" s="77"/>
      <c r="G24" s="79">
        <f t="shared" si="0"/>
        <v>0</v>
      </c>
    </row>
    <row r="25" spans="2:7" x14ac:dyDescent="0.25">
      <c r="B25" s="12" t="s">
        <v>19</v>
      </c>
      <c r="C25" s="13" t="s">
        <v>149</v>
      </c>
      <c r="D25" s="14" t="s">
        <v>118</v>
      </c>
      <c r="E25" s="207"/>
      <c r="F25" s="77"/>
      <c r="G25" s="79">
        <f t="shared" si="0"/>
        <v>0</v>
      </c>
    </row>
    <row r="26" spans="2:7" x14ac:dyDescent="0.25">
      <c r="B26" s="12" t="s">
        <v>20</v>
      </c>
      <c r="C26" s="13" t="s">
        <v>150</v>
      </c>
      <c r="D26" s="14" t="s">
        <v>118</v>
      </c>
      <c r="E26" s="207"/>
      <c r="F26" s="77"/>
      <c r="G26" s="79">
        <f t="shared" si="0"/>
        <v>0</v>
      </c>
    </row>
    <row r="27" spans="2:7" x14ac:dyDescent="0.25">
      <c r="B27" s="12" t="s">
        <v>21</v>
      </c>
      <c r="C27" s="13" t="s">
        <v>151</v>
      </c>
      <c r="D27" s="14" t="s">
        <v>118</v>
      </c>
      <c r="E27" s="207"/>
      <c r="F27" s="77"/>
      <c r="G27" s="79">
        <f t="shared" si="0"/>
        <v>0</v>
      </c>
    </row>
    <row r="28" spans="2:7" x14ac:dyDescent="0.25">
      <c r="B28" s="12" t="s">
        <v>72</v>
      </c>
      <c r="C28" s="13" t="s">
        <v>152</v>
      </c>
      <c r="D28" s="14" t="s">
        <v>118</v>
      </c>
      <c r="E28" s="207"/>
      <c r="F28" s="77"/>
      <c r="G28" s="79">
        <f t="shared" si="0"/>
        <v>0</v>
      </c>
    </row>
    <row r="29" spans="2:7" x14ac:dyDescent="0.25">
      <c r="B29" s="12" t="s">
        <v>52</v>
      </c>
      <c r="C29" s="13" t="s">
        <v>290</v>
      </c>
      <c r="D29" s="14" t="s">
        <v>74</v>
      </c>
      <c r="E29" s="207"/>
      <c r="F29" s="77"/>
      <c r="G29" s="79">
        <f t="shared" si="0"/>
        <v>0</v>
      </c>
    </row>
    <row r="30" spans="2:7" x14ac:dyDescent="0.25">
      <c r="B30" s="12" t="s">
        <v>53</v>
      </c>
      <c r="C30" s="13" t="s">
        <v>401</v>
      </c>
      <c r="D30" s="14" t="s">
        <v>5</v>
      </c>
      <c r="E30" s="207"/>
      <c r="F30" s="77"/>
      <c r="G30" s="79">
        <f t="shared" si="0"/>
        <v>0</v>
      </c>
    </row>
    <row r="31" spans="2:7" x14ac:dyDescent="0.25">
      <c r="B31" s="12" t="s">
        <v>24</v>
      </c>
      <c r="C31" s="13" t="s">
        <v>291</v>
      </c>
      <c r="D31" s="14" t="s">
        <v>5</v>
      </c>
      <c r="E31" s="207"/>
      <c r="F31" s="77"/>
      <c r="G31" s="79">
        <f t="shared" si="0"/>
        <v>0</v>
      </c>
    </row>
    <row r="32" spans="2:7" x14ac:dyDescent="0.25">
      <c r="B32" s="12"/>
      <c r="C32" s="13"/>
      <c r="D32" s="14"/>
      <c r="E32" s="207"/>
      <c r="F32" s="77"/>
      <c r="G32" s="79">
        <f t="shared" si="0"/>
        <v>0</v>
      </c>
    </row>
    <row r="33" spans="2:7" x14ac:dyDescent="0.25">
      <c r="B33" s="12"/>
      <c r="C33" s="13"/>
      <c r="D33" s="14"/>
      <c r="E33" s="207"/>
      <c r="F33" s="77"/>
      <c r="G33" s="79">
        <f t="shared" si="0"/>
        <v>0</v>
      </c>
    </row>
    <row r="34" spans="2:7" x14ac:dyDescent="0.25">
      <c r="B34" s="152"/>
      <c r="C34" s="153" t="s">
        <v>402</v>
      </c>
      <c r="D34" s="154"/>
      <c r="E34" s="155"/>
      <c r="F34" s="156"/>
      <c r="G34" s="157">
        <f>SUM(G21:G33)</f>
        <v>0</v>
      </c>
    </row>
    <row r="35" spans="2:7" x14ac:dyDescent="0.25">
      <c r="B35" s="78"/>
      <c r="C35" s="76" t="s">
        <v>193</v>
      </c>
      <c r="D35" s="30" t="s">
        <v>0</v>
      </c>
      <c r="E35" s="189">
        <f>'Producción panela'!H9</f>
        <v>0.05</v>
      </c>
      <c r="F35" s="40">
        <f>G34</f>
        <v>0</v>
      </c>
      <c r="G35" s="18">
        <f>F35*E35</f>
        <v>0</v>
      </c>
    </row>
    <row r="36" spans="2:7" x14ac:dyDescent="0.25">
      <c r="B36" s="152"/>
      <c r="C36" s="153" t="s">
        <v>403</v>
      </c>
      <c r="D36" s="154"/>
      <c r="E36" s="155"/>
      <c r="F36" s="156"/>
      <c r="G36" s="157">
        <f>G35</f>
        <v>0</v>
      </c>
    </row>
    <row r="37" spans="2:7" ht="13.8" thickBot="1" x14ac:dyDescent="0.3">
      <c r="B37" s="20"/>
      <c r="C37" s="21" t="s">
        <v>404</v>
      </c>
      <c r="D37" s="41"/>
      <c r="E37" s="42"/>
      <c r="F37" s="43"/>
      <c r="G37" s="138">
        <f>G34+G36</f>
        <v>0</v>
      </c>
    </row>
    <row r="39" spans="2:7" x14ac:dyDescent="0.25">
      <c r="B39" s="402" t="s">
        <v>236</v>
      </c>
      <c r="C39" s="403"/>
      <c r="D39" s="403"/>
      <c r="E39" s="403"/>
      <c r="F39" s="403"/>
      <c r="G39" s="403"/>
    </row>
    <row r="40" spans="2:7" x14ac:dyDescent="0.25">
      <c r="B40" s="90"/>
      <c r="C40" s="85" t="s">
        <v>407</v>
      </c>
      <c r="D40" s="83"/>
      <c r="E40" s="86"/>
      <c r="F40" s="87"/>
      <c r="G40" s="91">
        <f>G34</f>
        <v>0</v>
      </c>
    </row>
    <row r="41" spans="2:7" x14ac:dyDescent="0.25">
      <c r="B41" s="90"/>
      <c r="C41" s="85" t="s">
        <v>408</v>
      </c>
      <c r="D41" s="83"/>
      <c r="E41" s="86"/>
      <c r="F41" s="87"/>
      <c r="G41" s="91">
        <f>G36</f>
        <v>0</v>
      </c>
    </row>
    <row r="42" spans="2:7" x14ac:dyDescent="0.25">
      <c r="B42" s="90"/>
      <c r="C42" s="85" t="s">
        <v>409</v>
      </c>
      <c r="D42" s="83"/>
      <c r="E42" s="86"/>
      <c r="F42" s="87"/>
      <c r="G42" s="91">
        <f>G41+G40</f>
        <v>0</v>
      </c>
    </row>
    <row r="43" spans="2:7" ht="14.4" thickBot="1" x14ac:dyDescent="0.3">
      <c r="B43" s="98"/>
      <c r="C43" s="97" t="s">
        <v>410</v>
      </c>
      <c r="D43" s="93"/>
      <c r="E43" s="93"/>
      <c r="F43" s="93"/>
      <c r="G43" s="144">
        <f>IFERROR(G42/G17,0)</f>
        <v>0</v>
      </c>
    </row>
  </sheetData>
  <mergeCells count="17">
    <mergeCell ref="B2:G2"/>
    <mergeCell ref="C4:E4"/>
    <mergeCell ref="D5:E5"/>
    <mergeCell ref="G5:G8"/>
    <mergeCell ref="D6:E6"/>
    <mergeCell ref="D7:E7"/>
    <mergeCell ref="D8:E8"/>
    <mergeCell ref="E15:F15"/>
    <mergeCell ref="E16:F16"/>
    <mergeCell ref="E17:F17"/>
    <mergeCell ref="B39:G39"/>
    <mergeCell ref="D9:E9"/>
    <mergeCell ref="D10:E10"/>
    <mergeCell ref="D11:E11"/>
    <mergeCell ref="C13:D13"/>
    <mergeCell ref="E13:G13"/>
    <mergeCell ref="E14:F14"/>
  </mergeCells>
  <dataValidations count="1">
    <dataValidation type="list" allowBlank="1" showInputMessage="1" showErrorMessage="1" sqref="D21" xr:uid="{00000000-0002-0000-0500-000000000000}">
      <formula1>"Falor facturado,Etiqueta"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A2:W52"/>
  <sheetViews>
    <sheetView showGridLines="0" tabSelected="1" zoomScale="98" zoomScaleNormal="98" zoomScaleSheetLayoutView="145" workbookViewId="0">
      <selection activeCell="T29" sqref="T29"/>
    </sheetView>
  </sheetViews>
  <sheetFormatPr baseColWidth="10" defaultRowHeight="13.2" x14ac:dyDescent="0.25"/>
  <cols>
    <col min="1" max="1" width="2.109375" style="4" customWidth="1"/>
    <col min="2" max="2" width="2.109375" style="5" customWidth="1"/>
    <col min="3" max="3" width="15.5546875" customWidth="1"/>
    <col min="4" max="4" width="19" customWidth="1"/>
    <col min="5" max="5" width="15" customWidth="1"/>
    <col min="6" max="6" width="12.88671875" customWidth="1"/>
    <col min="7" max="7" width="12.44140625" customWidth="1"/>
    <col min="8" max="8" width="17" customWidth="1"/>
    <col min="9" max="9" width="11.44140625" customWidth="1"/>
    <col min="11" max="11" width="1.6640625" customWidth="1"/>
    <col min="13" max="13" width="13.33203125" hidden="1" customWidth="1"/>
    <col min="14" max="14" width="33" hidden="1" customWidth="1"/>
    <col min="15" max="15" width="14.88671875" hidden="1" customWidth="1"/>
    <col min="16" max="18" width="13.33203125" hidden="1" customWidth="1"/>
    <col min="19" max="19" width="12.33203125" bestFit="1" customWidth="1"/>
    <col min="21" max="21" width="13.33203125" bestFit="1" customWidth="1"/>
    <col min="23" max="23" width="12.33203125" bestFit="1" customWidth="1"/>
    <col min="24" max="24" width="13.33203125" bestFit="1" customWidth="1"/>
  </cols>
  <sheetData>
    <row r="2" spans="1:20" x14ac:dyDescent="0.25">
      <c r="C2" s="426" t="s">
        <v>100</v>
      </c>
      <c r="D2" s="426"/>
      <c r="E2" s="426"/>
    </row>
    <row r="3" spans="1:20" x14ac:dyDescent="0.25">
      <c r="B3" s="68"/>
      <c r="C3" s="409" t="s">
        <v>256</v>
      </c>
      <c r="D3" s="409"/>
      <c r="E3" s="229">
        <f>+'Producción panela'!E14</f>
        <v>18</v>
      </c>
      <c r="G3" s="416" t="str">
        <f>'Costos siembra nueva'!D13</f>
        <v>Tiempo de renovación (cantidad de cortes)</v>
      </c>
      <c r="H3" s="416"/>
      <c r="I3" s="416"/>
      <c r="J3" s="196" t="str">
        <f>'Costos siembra nueva'!E13</f>
        <v>10</v>
      </c>
      <c r="N3" s="411" t="s">
        <v>312</v>
      </c>
      <c r="O3" s="412"/>
      <c r="P3" s="412"/>
      <c r="Q3" s="412"/>
      <c r="R3" s="413"/>
    </row>
    <row r="4" spans="1:20" x14ac:dyDescent="0.25">
      <c r="C4" s="409" t="s">
        <v>86</v>
      </c>
      <c r="D4" s="409"/>
      <c r="E4" s="137">
        <f>'Producción mieles'!E15</f>
        <v>0</v>
      </c>
      <c r="N4" s="265" t="s">
        <v>311</v>
      </c>
      <c r="O4" s="265" t="s">
        <v>4</v>
      </c>
      <c r="P4" s="410" t="s">
        <v>320</v>
      </c>
      <c r="Q4" s="410"/>
      <c r="R4" s="410"/>
    </row>
    <row r="5" spans="1:20" x14ac:dyDescent="0.25">
      <c r="C5" s="409" t="s">
        <v>80</v>
      </c>
      <c r="D5" s="409"/>
      <c r="E5" s="54">
        <f>+'Producción panela'!E15</f>
        <v>95</v>
      </c>
      <c r="N5" s="232" t="s">
        <v>313</v>
      </c>
      <c r="O5" s="234"/>
      <c r="P5" s="234" t="s">
        <v>325</v>
      </c>
      <c r="Q5" s="234" t="s">
        <v>315</v>
      </c>
      <c r="R5" s="234" t="s">
        <v>316</v>
      </c>
    </row>
    <row r="6" spans="1:20" ht="12.75" customHeight="1" x14ac:dyDescent="0.25">
      <c r="A6" s="164"/>
      <c r="B6" s="4"/>
      <c r="C6" s="409" t="s">
        <v>99</v>
      </c>
      <c r="D6" s="409"/>
      <c r="E6" s="229">
        <f>+'Producción panela'!E16</f>
        <v>60</v>
      </c>
      <c r="I6" s="4"/>
      <c r="J6" s="53"/>
      <c r="K6" s="4"/>
      <c r="N6" s="233" t="s">
        <v>315</v>
      </c>
      <c r="O6" s="237">
        <f>+SUM('Costos siembra nueva'!F17:F27)</f>
        <v>93</v>
      </c>
      <c r="P6" s="238">
        <f>+Q6/J3</f>
        <v>813225</v>
      </c>
      <c r="Q6" s="239">
        <f>+'Costos siembra nueva'!H32</f>
        <v>8132250</v>
      </c>
      <c r="R6" s="239"/>
    </row>
    <row r="7" spans="1:20" ht="12.75" customHeight="1" x14ac:dyDescent="0.25">
      <c r="A7" s="148"/>
      <c r="B7" s="151"/>
      <c r="C7" s="409" t="s">
        <v>102</v>
      </c>
      <c r="D7" s="409"/>
      <c r="E7" s="229">
        <f>+'Producción panela'!E17</f>
        <v>3</v>
      </c>
      <c r="I7" s="4"/>
      <c r="N7" s="233" t="s">
        <v>316</v>
      </c>
      <c r="O7" s="237">
        <f>+SUM('Mantenimiento de cultivo'!F17:F30)</f>
        <v>47</v>
      </c>
      <c r="P7" s="239">
        <f>+R7*Cosecha!F12/'Mantenimiento de cultivo'!E14</f>
        <v>4458176.4705882352</v>
      </c>
      <c r="Q7" s="239"/>
      <c r="R7" s="239">
        <f>+'Mantenimiento de cultivo'!H35</f>
        <v>4210500</v>
      </c>
    </row>
    <row r="8" spans="1:20" x14ac:dyDescent="0.25">
      <c r="A8" s="148"/>
      <c r="B8" s="151"/>
      <c r="I8" s="4"/>
      <c r="N8" s="233" t="s">
        <v>314</v>
      </c>
      <c r="O8" s="237">
        <f>+SUM(Cosecha!F20:F27)</f>
        <v>84</v>
      </c>
      <c r="P8" s="239">
        <f>+Cosecha!H32</f>
        <v>7056000</v>
      </c>
      <c r="Q8" s="239">
        <f>+Cosecha!H32*'Costos siembra nueva'!E14/Cosecha!F12</f>
        <v>6664000</v>
      </c>
      <c r="R8" s="239">
        <f>+Cosecha!H32*'Mantenimiento de cultivo'!E14/Cosecha!F12</f>
        <v>6664000</v>
      </c>
    </row>
    <row r="9" spans="1:20" x14ac:dyDescent="0.25">
      <c r="A9" s="148"/>
      <c r="B9" s="151"/>
      <c r="C9" s="430" t="s">
        <v>87</v>
      </c>
      <c r="D9" s="430"/>
      <c r="E9" s="430"/>
      <c r="F9" s="430"/>
      <c r="G9" s="430"/>
      <c r="H9" s="430"/>
      <c r="N9" s="233" t="s">
        <v>317</v>
      </c>
      <c r="O9" s="240">
        <f>+SUM('Producción panela'!F20:F35)*'Producción panela'!J15/'Producción panela'!H17</f>
        <v>68040.000000000015</v>
      </c>
      <c r="P9" s="239">
        <f>+'Producción panela'!J39</f>
        <v>4485537.0000000009</v>
      </c>
      <c r="Q9" s="239">
        <f>+'Producción panela'!J39*P43/P45</f>
        <v>4236340.5000000009</v>
      </c>
      <c r="R9" s="239">
        <f>+'Producción panela'!J39*P44/P45</f>
        <v>4236340.5000000009</v>
      </c>
    </row>
    <row r="10" spans="1:20" ht="21.75" customHeight="1" x14ac:dyDescent="0.25">
      <c r="A10" s="148"/>
      <c r="B10" s="151"/>
      <c r="C10" s="431" t="s">
        <v>89</v>
      </c>
      <c r="D10" s="431" t="s">
        <v>90</v>
      </c>
      <c r="E10" s="431" t="s">
        <v>77</v>
      </c>
      <c r="F10" s="431" t="s">
        <v>78</v>
      </c>
      <c r="G10" s="431" t="s">
        <v>79</v>
      </c>
      <c r="H10" s="431" t="s">
        <v>91</v>
      </c>
      <c r="I10" s="2"/>
      <c r="J10" s="421" t="s">
        <v>235</v>
      </c>
      <c r="N10" s="230" t="s">
        <v>318</v>
      </c>
      <c r="O10" s="277">
        <f>+O7+O8+O9</f>
        <v>68171.000000000015</v>
      </c>
      <c r="P10" s="231">
        <f>P6+P7+P8+P9</f>
        <v>16812938.470588237</v>
      </c>
      <c r="Q10" s="231">
        <f>+SUM(Q6:Q9)</f>
        <v>19032590.5</v>
      </c>
      <c r="R10" s="231">
        <f>+SUM(R6:R9)</f>
        <v>15110840.5</v>
      </c>
    </row>
    <row r="11" spans="1:20" ht="21.75" customHeight="1" x14ac:dyDescent="0.25">
      <c r="A11" s="148"/>
      <c r="B11" s="151"/>
      <c r="C11" s="431"/>
      <c r="D11" s="431"/>
      <c r="E11" s="431"/>
      <c r="F11" s="431"/>
      <c r="G11" s="431"/>
      <c r="H11" s="431"/>
      <c r="J11" s="421"/>
      <c r="N11" s="250" t="s">
        <v>319</v>
      </c>
      <c r="O11" s="251"/>
      <c r="P11" s="252" t="s">
        <v>325</v>
      </c>
      <c r="Q11" s="252" t="s">
        <v>315</v>
      </c>
      <c r="R11" s="252" t="s">
        <v>316</v>
      </c>
    </row>
    <row r="12" spans="1:20" x14ac:dyDescent="0.25">
      <c r="A12" s="150"/>
      <c r="B12" s="4"/>
      <c r="C12" s="45">
        <f>IFERROR(((E6-E7)*E3/E4/100),0)</f>
        <v>0</v>
      </c>
      <c r="D12" s="46">
        <f>IFERROR(1/C12,0)</f>
        <v>0</v>
      </c>
      <c r="E12" s="134">
        <f>IFERROR(('Costos siembra nueva'!H87/J3+'Mantenimiento de cultivo'!H89),0)</f>
        <v>103.18288235294119</v>
      </c>
      <c r="F12" s="134">
        <f>Cosecha!H64</f>
        <v>93.38</v>
      </c>
      <c r="G12" s="134">
        <f>F12+E12/(1-J12)</f>
        <v>196.56288235294119</v>
      </c>
      <c r="H12" s="135">
        <f>G12*D12</f>
        <v>0</v>
      </c>
      <c r="J12" s="58"/>
      <c r="N12" s="251" t="str">
        <f>+N6</f>
        <v>Siembra nueva</v>
      </c>
      <c r="O12" s="248" t="s">
        <v>5</v>
      </c>
      <c r="P12" s="249">
        <f>+Q12/J3</f>
        <v>891870</v>
      </c>
      <c r="Q12" s="249">
        <f>+'Costos siembra nueva'!H55</f>
        <v>8918700</v>
      </c>
      <c r="R12" s="249"/>
    </row>
    <row r="13" spans="1:20" x14ac:dyDescent="0.25">
      <c r="A13" s="148"/>
      <c r="B13" s="151"/>
      <c r="N13" s="251" t="str">
        <f t="shared" ref="N13:N15" si="0">+N7</f>
        <v>Mantenimiento</v>
      </c>
      <c r="O13" s="248" t="s">
        <v>5</v>
      </c>
      <c r="P13" s="249">
        <f>+R13*Cosecha!F12/'Mantenimiento de cultivo'!E14</f>
        <v>956117.6470588235</v>
      </c>
      <c r="Q13" s="249"/>
      <c r="R13" s="249">
        <f>+'Mantenimiento de cultivo'!H61</f>
        <v>903000</v>
      </c>
    </row>
    <row r="14" spans="1:20" x14ac:dyDescent="0.25">
      <c r="A14" s="150"/>
      <c r="B14" s="150"/>
      <c r="C14" s="428" t="s">
        <v>241</v>
      </c>
      <c r="D14" s="428"/>
      <c r="E14" s="47">
        <f>'Producción mieles'!H117</f>
        <v>0</v>
      </c>
      <c r="F14" s="50" t="s">
        <v>92</v>
      </c>
      <c r="N14" s="251" t="str">
        <f t="shared" si="0"/>
        <v>Cosecha</v>
      </c>
      <c r="O14" s="248" t="s">
        <v>5</v>
      </c>
      <c r="P14" s="249">
        <f>+Cosecha!H43</f>
        <v>330750</v>
      </c>
      <c r="Q14" s="249">
        <f>+Cosecha!H43*'Costos siembra nueva'!E14/Cosecha!F12</f>
        <v>312375</v>
      </c>
      <c r="R14" s="249">
        <f>+Cosecha!H43*'Mantenimiento de cultivo'!E14/Cosecha!F12</f>
        <v>312375</v>
      </c>
      <c r="T14" s="55"/>
    </row>
    <row r="15" spans="1:20" x14ac:dyDescent="0.25">
      <c r="C15" s="419" t="s">
        <v>96</v>
      </c>
      <c r="D15" s="420"/>
      <c r="E15" s="52">
        <f>H12</f>
        <v>0</v>
      </c>
      <c r="F15" s="50" t="s">
        <v>93</v>
      </c>
      <c r="N15" s="251" t="str">
        <f t="shared" si="0"/>
        <v>Transformación</v>
      </c>
      <c r="O15" s="248" t="s">
        <v>5</v>
      </c>
      <c r="P15" s="249">
        <f>+'Producción panela'!J63</f>
        <v>2305705.5000000005</v>
      </c>
      <c r="Q15" s="249">
        <f>+'Producción panela'!J63*P43/P45</f>
        <v>2177610.7500000005</v>
      </c>
      <c r="R15" s="249">
        <f>+'Producción panela'!J63*P44/P45</f>
        <v>2177610.7500000005</v>
      </c>
    </row>
    <row r="16" spans="1:20" ht="15.6" x14ac:dyDescent="0.3">
      <c r="C16" s="429" t="s">
        <v>95</v>
      </c>
      <c r="D16" s="429"/>
      <c r="E16" s="51">
        <f>E15+E14</f>
        <v>0</v>
      </c>
      <c r="F16" s="50" t="s">
        <v>94</v>
      </c>
      <c r="N16" s="244" t="s">
        <v>318</v>
      </c>
      <c r="O16" s="245"/>
      <c r="P16" s="246">
        <f>+P12+P13+P14+P15</f>
        <v>4484443.1470588241</v>
      </c>
      <c r="Q16" s="247">
        <f>+SUM(Q12:Q15)</f>
        <v>11408685.75</v>
      </c>
      <c r="R16" s="247">
        <f>+SUM(R12:R15)</f>
        <v>3392985.7500000005</v>
      </c>
      <c r="T16" s="55"/>
    </row>
    <row r="18" spans="3:18" x14ac:dyDescent="0.25">
      <c r="C18" s="427" t="s">
        <v>88</v>
      </c>
      <c r="D18" s="427"/>
      <c r="E18" s="427"/>
      <c r="F18" s="427"/>
      <c r="G18" s="427"/>
      <c r="H18" s="427"/>
      <c r="N18" s="255" t="s">
        <v>71</v>
      </c>
      <c r="O18" s="256"/>
      <c r="P18" s="257" t="s">
        <v>325</v>
      </c>
      <c r="Q18" s="257" t="s">
        <v>315</v>
      </c>
      <c r="R18" s="257" t="s">
        <v>316</v>
      </c>
    </row>
    <row r="19" spans="3:18" ht="21.75" customHeight="1" x14ac:dyDescent="0.25">
      <c r="C19" s="414" t="s">
        <v>75</v>
      </c>
      <c r="D19" s="414" t="s">
        <v>76</v>
      </c>
      <c r="E19" s="414" t="s">
        <v>77</v>
      </c>
      <c r="F19" s="414" t="s">
        <v>78</v>
      </c>
      <c r="G19" s="414" t="s">
        <v>79</v>
      </c>
      <c r="H19" s="414" t="s">
        <v>101</v>
      </c>
      <c r="K19" s="16"/>
      <c r="L19" s="55"/>
      <c r="N19" s="256" t="str">
        <f>+N12</f>
        <v>Siembra nueva</v>
      </c>
      <c r="O19" s="253" t="s">
        <v>5</v>
      </c>
      <c r="P19" s="254" t="e">
        <f>+Q19/J3</f>
        <v>#REF!</v>
      </c>
      <c r="Q19" s="254" t="e">
        <f>+SUM('Costos siembra nueva'!#REF!)*(1+'Costos siembra nueva'!H13)</f>
        <v>#REF!</v>
      </c>
      <c r="R19" s="254"/>
    </row>
    <row r="20" spans="3:18" ht="21.75" customHeight="1" x14ac:dyDescent="0.25">
      <c r="C20" s="415"/>
      <c r="D20" s="415"/>
      <c r="E20" s="415"/>
      <c r="F20" s="415"/>
      <c r="G20" s="415"/>
      <c r="H20" s="415"/>
      <c r="N20" s="256" t="str">
        <f t="shared" ref="N20:N22" si="1">+N13</f>
        <v>Mantenimiento</v>
      </c>
      <c r="O20" s="253" t="s">
        <v>5</v>
      </c>
      <c r="P20" s="254" t="e">
        <f>+R20*Cosecha!F12/'Mantenimiento de cultivo'!E14</f>
        <v>#REF!</v>
      </c>
      <c r="Q20" s="254"/>
      <c r="R20" s="254" t="e">
        <f>+SUM('Mantenimiento de cultivo'!#REF!)*(1+'Costos siembra nueva'!H13)</f>
        <v>#REF!</v>
      </c>
    </row>
    <row r="21" spans="3:18" x14ac:dyDescent="0.25">
      <c r="C21" s="48">
        <f>IFERROR(((E6-E7)*E3/E5/100),0)</f>
        <v>0.10800000000000001</v>
      </c>
      <c r="D21" s="48">
        <f>IFERROR(1/C21,0)</f>
        <v>9.2592592592592577</v>
      </c>
      <c r="E21" s="133">
        <f>IFERROR(('Costos siembra nueva'!H87/J3+'Mantenimiento de cultivo'!H89),0)</f>
        <v>103.18288235294119</v>
      </c>
      <c r="F21" s="133">
        <f>Cosecha!H64</f>
        <v>93.38</v>
      </c>
      <c r="G21" s="133">
        <f>F21+E21/(1-J12)</f>
        <v>196.56288235294119</v>
      </c>
      <c r="H21" s="136">
        <f>G21*D21</f>
        <v>1820.0266884531588</v>
      </c>
      <c r="N21" s="256" t="str">
        <f t="shared" si="1"/>
        <v>Cosecha</v>
      </c>
      <c r="O21" s="253" t="s">
        <v>5</v>
      </c>
      <c r="P21" s="254">
        <f>+Cosecha!H46*(1+'Costos siembra nueva'!H13)</f>
        <v>3118500</v>
      </c>
      <c r="Q21" s="254">
        <f>+Cosecha!H46*'Costos siembra nueva'!E14/Cosecha!F12*(1+'Costos siembra nueva'!H13)</f>
        <v>2945250</v>
      </c>
      <c r="R21" s="254">
        <f>+Cosecha!H46*'Mantenimiento de cultivo'!E14/Cosecha!F12</f>
        <v>2805000</v>
      </c>
    </row>
    <row r="22" spans="3:18" x14ac:dyDescent="0.25">
      <c r="N22" s="256" t="str">
        <f t="shared" si="1"/>
        <v>Transformación</v>
      </c>
      <c r="O22" s="253" t="s">
        <v>5</v>
      </c>
      <c r="P22" s="254" t="e">
        <f>+'Producción panela'!#REF!</f>
        <v>#REF!</v>
      </c>
      <c r="Q22" s="254">
        <f>+P43/P45*'Producción panela'!J69</f>
        <v>0</v>
      </c>
      <c r="R22" s="254">
        <f>+P44/P45*'Producción panela'!J69</f>
        <v>0</v>
      </c>
    </row>
    <row r="23" spans="3:18" x14ac:dyDescent="0.25">
      <c r="C23" s="417" t="s">
        <v>405</v>
      </c>
      <c r="D23" s="418"/>
      <c r="E23" s="49">
        <f>'Gastos Comercialización'!G43</f>
        <v>0</v>
      </c>
      <c r="N23" s="256"/>
      <c r="O23" s="253"/>
      <c r="P23" s="254"/>
      <c r="Q23" s="254"/>
      <c r="R23" s="254"/>
    </row>
    <row r="24" spans="3:18" ht="12.75" customHeight="1" x14ac:dyDescent="0.25">
      <c r="C24" s="417" t="s">
        <v>242</v>
      </c>
      <c r="D24" s="418"/>
      <c r="E24" s="49">
        <f>'Producción panela'!H108</f>
        <v>1406.2125000000001</v>
      </c>
      <c r="F24" s="50" t="s">
        <v>81</v>
      </c>
      <c r="N24" s="241" t="str">
        <f>+N16</f>
        <v>Total</v>
      </c>
      <c r="O24" s="242"/>
      <c r="P24" s="243" t="e">
        <f>+P19+P20+P21+P22</f>
        <v>#REF!</v>
      </c>
      <c r="Q24" s="243" t="e">
        <f>+SUM(Q19:Q22)</f>
        <v>#REF!</v>
      </c>
      <c r="R24" s="243" t="e">
        <f>+SUM(R19:R22)</f>
        <v>#REF!</v>
      </c>
    </row>
    <row r="25" spans="3:18" x14ac:dyDescent="0.25">
      <c r="C25" s="419" t="s">
        <v>83</v>
      </c>
      <c r="D25" s="420"/>
      <c r="E25" s="52">
        <f>H21</f>
        <v>1820.0266884531588</v>
      </c>
      <c r="F25" s="50" t="s">
        <v>82</v>
      </c>
    </row>
    <row r="26" spans="3:18" ht="17.399999999999999" x14ac:dyDescent="0.3">
      <c r="C26" s="424" t="s">
        <v>85</v>
      </c>
      <c r="D26" s="425"/>
      <c r="E26" s="56">
        <f>E25+E24</f>
        <v>3226.2391884531589</v>
      </c>
      <c r="F26" s="50" t="s">
        <v>84</v>
      </c>
      <c r="J26" s="282" t="s">
        <v>384</v>
      </c>
      <c r="N26" s="261" t="s">
        <v>279</v>
      </c>
      <c r="O26" s="262"/>
      <c r="P26" s="263" t="s">
        <v>325</v>
      </c>
      <c r="Q26" s="263" t="s">
        <v>315</v>
      </c>
      <c r="R26" s="263" t="s">
        <v>316</v>
      </c>
    </row>
    <row r="27" spans="3:18" x14ac:dyDescent="0.25">
      <c r="N27" s="264" t="s">
        <v>334</v>
      </c>
      <c r="O27" s="258" t="s">
        <v>5</v>
      </c>
      <c r="P27" s="259" t="e">
        <f>+'Producción panela'!#REF!+'Producción panela'!J102+'Producción panela'!J81-P22+Cosecha!H54</f>
        <v>#REF!</v>
      </c>
      <c r="Q27" s="259" t="e">
        <f>+P27*P43/P45</f>
        <v>#REF!</v>
      </c>
      <c r="R27" s="259" t="e">
        <f>+P27*P44/P45</f>
        <v>#REF!</v>
      </c>
    </row>
    <row r="28" spans="3:18" x14ac:dyDescent="0.25">
      <c r="C28" s="417" t="s">
        <v>330</v>
      </c>
      <c r="D28" s="418"/>
      <c r="E28" s="49">
        <v>5200</v>
      </c>
      <c r="H28" s="421" t="s">
        <v>328</v>
      </c>
      <c r="P28" s="260" t="e">
        <f>+P27+P24+P16+P10</f>
        <v>#REF!</v>
      </c>
      <c r="Q28" s="260" t="e">
        <f t="shared" ref="Q28" si="2">+Q27+Q24+Q16+Q10</f>
        <v>#REF!</v>
      </c>
      <c r="R28" s="260" t="e">
        <f>+R27+R24+R16+R10</f>
        <v>#REF!</v>
      </c>
    </row>
    <row r="29" spans="3:18" x14ac:dyDescent="0.25">
      <c r="C29" s="419" t="s">
        <v>329</v>
      </c>
      <c r="D29" s="420"/>
      <c r="E29" s="52">
        <f>+E28-E26</f>
        <v>1973.7608115468411</v>
      </c>
      <c r="H29" s="421"/>
      <c r="M29" s="433" t="s">
        <v>322</v>
      </c>
      <c r="N29" s="434"/>
      <c r="O29" s="434"/>
      <c r="P29" s="434"/>
      <c r="Q29" s="435"/>
    </row>
    <row r="30" spans="3:18" x14ac:dyDescent="0.25">
      <c r="H30" s="223"/>
      <c r="M30" s="275" t="s">
        <v>335</v>
      </c>
      <c r="N30" s="276" t="s">
        <v>311</v>
      </c>
      <c r="O30" s="276" t="s">
        <v>327</v>
      </c>
      <c r="P30" s="276" t="s">
        <v>326</v>
      </c>
      <c r="Q30" s="276" t="s">
        <v>5</v>
      </c>
    </row>
    <row r="31" spans="3:18" x14ac:dyDescent="0.25">
      <c r="M31" s="422" t="s">
        <v>315</v>
      </c>
      <c r="N31" s="269" t="s">
        <v>320</v>
      </c>
      <c r="O31" s="272" t="e">
        <f>+Q6+Q8+Q12+Q14+Q19+Q21</f>
        <v>#REF!</v>
      </c>
      <c r="P31" s="272" t="e">
        <f>+(Q9+Q15+Q22+Q27)+O32</f>
        <v>#REF!</v>
      </c>
      <c r="Q31" s="272" t="e">
        <f>+O31+P31-O32</f>
        <v>#REF!</v>
      </c>
    </row>
    <row r="32" spans="3:18" x14ac:dyDescent="0.25">
      <c r="E32" s="227"/>
      <c r="M32" s="423"/>
      <c r="N32" s="270" t="s">
        <v>323</v>
      </c>
      <c r="O32" s="273">
        <f>+'Costos siembra nueva'!E14*G12*1000</f>
        <v>16707845.000000002</v>
      </c>
      <c r="P32" s="273">
        <f>+E28*P43</f>
        <v>47736000.000000007</v>
      </c>
      <c r="Q32" s="273">
        <f>+P43*E28</f>
        <v>47736000.000000007</v>
      </c>
    </row>
    <row r="33" spans="13:19" x14ac:dyDescent="0.25">
      <c r="M33" s="423"/>
      <c r="N33" s="271" t="s">
        <v>324</v>
      </c>
      <c r="O33" s="219" t="e">
        <f>+O32-O31</f>
        <v>#REF!</v>
      </c>
      <c r="P33" s="219" t="e">
        <f>+P32-P31</f>
        <v>#REF!</v>
      </c>
      <c r="Q33" s="219" t="e">
        <f>+Q32-Q31</f>
        <v>#REF!</v>
      </c>
      <c r="R33" s="55"/>
    </row>
    <row r="34" spans="13:19" x14ac:dyDescent="0.25">
      <c r="M34" s="422" t="s">
        <v>316</v>
      </c>
      <c r="N34" s="269" t="s">
        <v>320</v>
      </c>
      <c r="O34" s="272" t="e">
        <f>+R7+R8+R13+R14+R20+R21</f>
        <v>#REF!</v>
      </c>
      <c r="P34" s="272" t="e">
        <f>+(R9+R15+R22+R27)+O35</f>
        <v>#REF!</v>
      </c>
      <c r="Q34" s="272" t="e">
        <f>+O34+P34-O35</f>
        <v>#REF!</v>
      </c>
      <c r="R34" s="55"/>
    </row>
    <row r="35" spans="13:19" x14ac:dyDescent="0.25">
      <c r="M35" s="423"/>
      <c r="N35" s="270" t="s">
        <v>323</v>
      </c>
      <c r="O35" s="274">
        <f>+G12*'Mantenimiento de cultivo'!E14*1000</f>
        <v>16707845.000000002</v>
      </c>
      <c r="P35" s="274">
        <f>+P44*E28</f>
        <v>47736000.000000007</v>
      </c>
      <c r="Q35" s="274">
        <f>+P44*E28</f>
        <v>47736000.000000007</v>
      </c>
      <c r="R35" s="55"/>
    </row>
    <row r="36" spans="13:19" x14ac:dyDescent="0.25">
      <c r="M36" s="423"/>
      <c r="N36" s="271" t="s">
        <v>324</v>
      </c>
      <c r="O36" s="219" t="e">
        <f>+O35-O34</f>
        <v>#REF!</v>
      </c>
      <c r="P36" s="219" t="e">
        <f>+P35-P34</f>
        <v>#REF!</v>
      </c>
      <c r="Q36" s="219" t="e">
        <f>+Q35-Q34</f>
        <v>#REF!</v>
      </c>
      <c r="R36" s="55"/>
    </row>
    <row r="37" spans="13:19" x14ac:dyDescent="0.25">
      <c r="M37" s="422" t="s">
        <v>325</v>
      </c>
      <c r="N37" s="269" t="s">
        <v>320</v>
      </c>
      <c r="O37" s="272">
        <f>+'Mantenimiento de cultivo'!H88*Cosecha!F12/'Mantenimiento de cultivo'!E14+'Costos siembra nueva'!H86+Cosecha!H60</f>
        <v>19672170</v>
      </c>
      <c r="P37" s="272">
        <f>+E24*'Producción panela'!J15+O38</f>
        <v>31359044.911764711</v>
      </c>
      <c r="Q37" s="272">
        <f>+O37+E24*'Producción panela'!J15</f>
        <v>33340555.500000004</v>
      </c>
      <c r="S37" s="55"/>
    </row>
    <row r="38" spans="13:19" x14ac:dyDescent="0.25">
      <c r="M38" s="423"/>
      <c r="N38" s="270" t="s">
        <v>323</v>
      </c>
      <c r="O38" s="274">
        <f>+G12*Cosecha!F12*1000</f>
        <v>17690659.411764707</v>
      </c>
      <c r="P38" s="274">
        <f>+E28*'Producción panela'!J15</f>
        <v>50544000.000000007</v>
      </c>
      <c r="Q38" s="274">
        <f>+E28*'Producción panela'!J15</f>
        <v>50544000.000000007</v>
      </c>
    </row>
    <row r="39" spans="13:19" x14ac:dyDescent="0.25">
      <c r="M39" s="423"/>
      <c r="N39" s="271" t="s">
        <v>324</v>
      </c>
      <c r="O39" s="219">
        <f>+O38-O37</f>
        <v>-1981510.5882352926</v>
      </c>
      <c r="P39" s="219">
        <f>+P38-P37</f>
        <v>19184955.088235296</v>
      </c>
      <c r="Q39" s="219">
        <f>+Q38-Q37</f>
        <v>17203444.500000004</v>
      </c>
    </row>
    <row r="41" spans="13:19" x14ac:dyDescent="0.25">
      <c r="N41" s="432" t="s">
        <v>311</v>
      </c>
      <c r="O41" s="432" t="s">
        <v>4</v>
      </c>
      <c r="P41" s="432"/>
    </row>
    <row r="42" spans="13:19" x14ac:dyDescent="0.25">
      <c r="N42" s="432"/>
      <c r="O42" s="267" t="s">
        <v>331</v>
      </c>
      <c r="P42" s="267" t="s">
        <v>332</v>
      </c>
      <c r="R42" s="55"/>
    </row>
    <row r="43" spans="13:19" x14ac:dyDescent="0.25">
      <c r="N43" s="266" t="s">
        <v>315</v>
      </c>
      <c r="O43" s="236">
        <f>+'Costos siembra nueva'!E14</f>
        <v>85</v>
      </c>
      <c r="P43" s="268">
        <f>+IF('Producción panela'!J7="Calculado",O43/'Resumen costos'!D21*1000,O43/10*1000)</f>
        <v>9180.0000000000018</v>
      </c>
      <c r="R43" s="55"/>
    </row>
    <row r="44" spans="13:19" x14ac:dyDescent="0.25">
      <c r="N44" s="266" t="s">
        <v>316</v>
      </c>
      <c r="O44" s="235">
        <f>+'Mantenimiento de cultivo'!E14</f>
        <v>85</v>
      </c>
      <c r="P44" s="268">
        <f>+IF('Producción panela'!J7="Calculado",O44/'Resumen costos'!D21*1000,O44/10*1000)</f>
        <v>9180.0000000000018</v>
      </c>
      <c r="R44" s="55"/>
    </row>
    <row r="45" spans="13:19" x14ac:dyDescent="0.25">
      <c r="N45" s="266" t="s">
        <v>325</v>
      </c>
      <c r="O45" s="235">
        <f>+Cosecha!F12</f>
        <v>90</v>
      </c>
      <c r="P45" s="268">
        <f>+O45/D21*1000</f>
        <v>9720.0000000000018</v>
      </c>
      <c r="Q45" s="226"/>
      <c r="R45" s="226"/>
    </row>
    <row r="48" spans="13:19" x14ac:dyDescent="0.25">
      <c r="R48" s="55"/>
    </row>
    <row r="49" spans="16:23" x14ac:dyDescent="0.25">
      <c r="R49" s="55"/>
    </row>
    <row r="52" spans="16:23" x14ac:dyDescent="0.25">
      <c r="P52" s="408"/>
      <c r="Q52" s="358"/>
      <c r="R52" s="408"/>
      <c r="S52" s="358"/>
      <c r="T52" s="408"/>
      <c r="U52" s="358"/>
      <c r="V52" s="408"/>
      <c r="W52" s="358"/>
    </row>
  </sheetData>
  <mergeCells count="44">
    <mergeCell ref="C25:D25"/>
    <mergeCell ref="O41:P41"/>
    <mergeCell ref="N41:N42"/>
    <mergeCell ref="M37:M39"/>
    <mergeCell ref="M34:M36"/>
    <mergeCell ref="M29:Q29"/>
    <mergeCell ref="C19:C20"/>
    <mergeCell ref="D19:D20"/>
    <mergeCell ref="E19:E20"/>
    <mergeCell ref="F19:F20"/>
    <mergeCell ref="C24:D24"/>
    <mergeCell ref="C23:D23"/>
    <mergeCell ref="C2:E2"/>
    <mergeCell ref="C18:H18"/>
    <mergeCell ref="C14:D14"/>
    <mergeCell ref="C16:D16"/>
    <mergeCell ref="C9:H9"/>
    <mergeCell ref="C10:C11"/>
    <mergeCell ref="D10:D11"/>
    <mergeCell ref="E10:E11"/>
    <mergeCell ref="F10:F11"/>
    <mergeCell ref="C3:D3"/>
    <mergeCell ref="C4:D4"/>
    <mergeCell ref="C5:D5"/>
    <mergeCell ref="C6:D6"/>
    <mergeCell ref="G10:G11"/>
    <mergeCell ref="H10:H11"/>
    <mergeCell ref="C15:D15"/>
    <mergeCell ref="T52:U52"/>
    <mergeCell ref="V52:W52"/>
    <mergeCell ref="C7:D7"/>
    <mergeCell ref="P4:R4"/>
    <mergeCell ref="N3:R3"/>
    <mergeCell ref="P52:Q52"/>
    <mergeCell ref="R52:S52"/>
    <mergeCell ref="G19:G20"/>
    <mergeCell ref="H19:H20"/>
    <mergeCell ref="G3:I3"/>
    <mergeCell ref="C28:D28"/>
    <mergeCell ref="C29:D29"/>
    <mergeCell ref="H28:H29"/>
    <mergeCell ref="M31:M33"/>
    <mergeCell ref="J10:J11"/>
    <mergeCell ref="C26:D26"/>
  </mergeCells>
  <conditionalFormatting sqref="O33:Q33 O39:Q39 O36:Q36">
    <cfRule type="cellIs" dxfId="1" priority="13" operator="greaterThan">
      <formula>168935</formula>
    </cfRule>
    <cfRule type="cellIs" dxfId="0" priority="14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  <headerFooter>
    <oddFooter>&amp;CFederación Nacional de productores de panela - Fedepanela
Programa Comercial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Costos siembra nueva</vt:lpstr>
      <vt:lpstr>Mantenimiento de cultivo</vt:lpstr>
      <vt:lpstr>Cosecha</vt:lpstr>
      <vt:lpstr>Producción mieles</vt:lpstr>
      <vt:lpstr>Producción panela</vt:lpstr>
      <vt:lpstr>Gastos Comercialización</vt:lpstr>
      <vt:lpstr>Resumen costos</vt:lpstr>
      <vt:lpstr>Cosecha!Área_de_impresión</vt:lpstr>
      <vt:lpstr>'Costos siembra nueva'!Área_de_impresión</vt:lpstr>
      <vt:lpstr>'Mantenimiento de cultivo'!Área_de_impresión</vt:lpstr>
      <vt:lpstr>'Producción mieles'!Área_de_impresión</vt:lpstr>
      <vt:lpstr>'Producción panela'!Área_de_impresión</vt:lpstr>
      <vt:lpstr>'Resumen costos'!Área_de_impresión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User</cp:lastModifiedBy>
  <cp:lastPrinted>2023-04-13T23:33:07Z</cp:lastPrinted>
  <dcterms:created xsi:type="dcterms:W3CDTF">2019-11-14T22:10:30Z</dcterms:created>
  <dcterms:modified xsi:type="dcterms:W3CDTF">2025-04-22T16:26:31Z</dcterms:modified>
</cp:coreProperties>
</file>